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9a3a20f4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76f834be1cde466b"/>
    <x:sheet xmlns:r="http://schemas.openxmlformats.org/officeDocument/2006/relationships" name="Annual cash flow" sheetId="2" r:id="R80c8878beab44bd3"/>
    <x:sheet xmlns:r="http://schemas.openxmlformats.org/officeDocument/2006/relationships" name="Loan schedule" sheetId="3" r:id="R39d4e15b36a941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0.0%;(0.0%);&quot;–&quot;"/>
    <x:numFmt numFmtId="202" formatCode="0"/>
    <x:numFmt numFmtId="203" formatCode="$#,##0.00;($#,##0.00);&quot;–&quot;"/>
    <x:numFmt numFmtId="204" formatCode="&quot;Year &quot;0"/>
  </x:numFmts>
  <x:fonts count="13">
    <x:font>
      <x:sz val="11"/>
      <x:name val="Carlito"/>
    </x:font>
    <x:font>
      <x:sz val="10"/>
      <x:color rgb="FF1A2E3D"/>
      <x:name val="Arial"/>
    </x:font>
    <x:font>
      <x:b/>
      <x:sz val="16"/>
      <x:color rgb="FF1A2E3D"/>
      <x:name val="Arial"/>
    </x:font>
    <x:font>
      <x:sz val="10"/>
      <x:color rgb="FF5A6C79"/>
      <x:name val="Arial"/>
    </x:font>
    <x:font>
      <x:sz val="10"/>
      <x:color rgb="FF1259B2"/>
      <x:name val="Arial"/>
    </x:font>
    <x:font>
      <x:b/>
      <x:sz val="10"/>
      <x:color rgb="FF1A2E3D"/>
      <x:name val="Arial"/>
    </x:font>
    <x:font>
      <x:b/>
      <x:sz val="14"/>
      <x:color rgb="FF1A2E3D"/>
      <x:name val="Arial"/>
    </x:font>
    <x:font>
      <x:i/>
      <x:sz val="10"/>
      <x:color rgb="FF5A6C79"/>
      <x:name val="Arial"/>
    </x:font>
    <x:font>
      <x:b/>
      <x:sz val="10"/>
      <x:color rgb="FFA92C2C"/>
      <x:name val="Arial"/>
    </x:font>
    <x:font>
      <x:b/>
      <x:sz val="10"/>
      <x:color rgb="FFFFFFFF"/>
      <x:name val="Arial"/>
    </x:font>
    <x:font>
      <x:sz val="10"/>
      <x:color rgb="FF216A50"/>
      <x:name val="Arial"/>
    </x:font>
    <x:font>
      <x:i/>
      <x:sz val="10"/>
      <x:color rgb="FF1A2E3D"/>
      <x:name val="Arial"/>
    </x:font>
    <x:font>
      <x:i/>
      <x:sz val="10"/>
      <x:color rgb="FF216A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EEF4F8"/>
      </x:patternFill>
    </x:fill>
    <x:fill>
      <x:patternFill patternType="solid">
        <x:fgColor rgb="FF185E94"/>
      </x:patternFill>
    </x:fill>
  </x:fills>
  <x:borders count="2">
    <x:border/>
    <x:border>
      <x:top style="thin">
        <x:color rgb="FFD5E0E8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3" fontId="5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horizontal="center" vertical="center"/>
    </x:xf>
    <x:xf numFmtId="204" fontId="9" fillId="4" borderId="0" xfId="0" applyNumberFormat="1" applyFont="1" applyFill="1" applyBorder="1" applyAlignment="1">
      <x:alignment horizontal="center" vertical="center"/>
    </x:xf>
    <x:xf numFmtId="203" fontId="10" fillId="0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203" fontId="5" fillId="3" borderId="1" xfId="0" applyNumberFormat="1" applyFont="1" applyFill="1" applyBorder="1" applyAlignment="1">
      <x:alignment vertical="center"/>
    </x:xf>
    <x:xf numFmtId="201" fontId="10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201" fontId="12" fillId="3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2a47015b548db" /><Relationship Type="http://schemas.openxmlformats.org/officeDocument/2006/relationships/theme" Target="/xl/theme/theme1.xml" Id="R042fc21ce94b4669" /><Relationship Type="http://schemas.openxmlformats.org/officeDocument/2006/relationships/sharedStrings" Target="/xl/sharedStrings.xml" Id="R7ed78fadc81c4ee7" /><Relationship Type="http://schemas.openxmlformats.org/officeDocument/2006/relationships/worksheet" Target="/xl/worksheets/sheet1.xml" Id="R76f834be1cde466b" /><Relationship Type="http://schemas.openxmlformats.org/officeDocument/2006/relationships/worksheet" Target="/xl/worksheets/sheet2.xml" Id="R80c8878beab44bd3" /><Relationship Type="http://schemas.openxmlformats.org/officeDocument/2006/relationships/worksheet" Target="/xl/worksheets/sheet3.xml" Id="R39d4e15b36a941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4b7f1091c8d45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Annual cash flow &amp; principal repaid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Annual cash flow</c:v>
          </c:tx>
          <c:spPr>
            <a:solidFill xmlns:a="http://schemas.openxmlformats.org/drawingml/2006/main">
              <a:srgbClr val="185E94"/>
            </a:solidFill>
            <a:ln xmlns:a="http://schemas.openxmlformats.org/drawingml/2006/main" w="19050">
              <a:solidFill>
                <a:srgbClr val="185E94"/>
              </a:solidFill>
              <a:prstDash val="solid"/>
            </a:ln>
          </c:spPr>
          <c:marker>
            <c:symbol val="none"/>
          </c:marker>
          <c:cat>
            <c:strRef>
              <c:f>'Analysis'!$J$6:$J$35</c:f>
              <c:strCache>
                <c:ptCount val="0"/>
              </c:strCache>
            </c:strRef>
          </c:cat>
          <c:val>
            <c:numRef>
              <c:f>'Analysis'!$K$6:$K$35</c:f>
              <c:numCache>
                <c:formatCode>$#,##0.00;($#,##0.00);"–"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Principal repaid</c:v>
          </c:tx>
          <c:spPr>
            <a:solidFill xmlns:a="http://schemas.openxmlformats.org/drawingml/2006/main">
              <a:srgbClr val="216A50"/>
            </a:solidFill>
            <a:ln xmlns:a="http://schemas.openxmlformats.org/drawingml/2006/main" w="19050">
              <a:solidFill>
                <a:srgbClr val="216A50"/>
              </a:solidFill>
              <a:prstDash val="solid"/>
            </a:ln>
          </c:spPr>
          <c:marker>
            <c:symbol val="none"/>
          </c:marker>
          <c:cat>
            <c:strRef>
              <c:f>'Analysis'!$J$6:$J$35</c:f>
              <c:strCache>
                <c:ptCount val="0"/>
              </c:strCache>
            </c:strRef>
          </c:cat>
          <c:val>
            <c:numRef>
              <c:f>'Analysis'!$L$6:$L$35</c:f>
              <c:numCache>
                <c:formatCode>$#,##0.00;($#,##0.00);"–"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5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29</xdr:row>
      <xdr:rowOff>0</xdr:rowOff>
    </xdr:from>
    <xdr:to>
      <xdr:col>9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b7f1091c8d452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dd39431f77e4ab5" /></Relationships>
</file>

<file path=xl/worksheets/sheet1.xml><?xml version="1.0" encoding="utf-8"?>
<x:worksheet xmlns:x="http://schemas.openxmlformats.org/spreadsheetml/2006/main">
  <x:sheetPr>
    <x:tabColor rgb="FF185E94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9" hidden="0" customWidth="1"/>
    <x:col min="5" max="5" width="4" hidden="0" customWidth="1"/>
    <x:col min="6" max="6" width="35" hidden="0" customWidth="1"/>
    <x:col min="7" max="7" width="20" hidden="0" customWidth="1"/>
    <x:col min="8" max="8" width="6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2"/>
      <x:c r="B2" s="3" t="str">
        <x:v>Rental property analysis</x:v>
      </x:c>
      <x:c r="C2" s="2"/>
      <x:c r="D2" s="2"/>
      <x:c r="E2" s="2"/>
      <x:c r="F2" s="2"/>
      <x:c r="G2" s="2"/>
      <x:c r="H2" s="2"/>
    </x:row>
    <x:row r="3" ht="22" customHeight="1">
      <x:c r="A3" s="2"/>
      <x:c r="B3" s="4" t="str">
        <x:v>The Rental Wire</x:v>
      </x:c>
      <x:c r="C3" s="2"/>
      <x:c r="D3" s="2"/>
      <x:c r="E3" s="2"/>
      <x:c r="F3" s="2"/>
      <x:c r="G3" s="2"/>
      <x:c r="H3" s="2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2"/>
      <x:c r="B5" s="2" t="str">
        <x:v>Property</x:v>
      </x:c>
      <x:c r="C5" s="6" t="str">
        <x:v>Example rental</x:v>
      </x:c>
      <x:c r="D5" s="5"/>
      <x:c r="E5" s="2"/>
      <x:c r="F5" s="2"/>
      <x:c r="G5" s="2"/>
      <x:c r="H5" s="2"/>
      <x:c r="J5" s="1" t="str">
        <x:v>Year</x:v>
      </x:c>
      <x:c r="K5" s="1" t="str">
        <x:v>Annual cash flow</x:v>
      </x:c>
      <x:c r="L5" s="1" t="str">
        <x:v>Principal repaid</x:v>
      </x:c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J6" s="1" t="n">
        <x:f>'Annual cash flow'!C5</x:f>
        <x:v>1</x:v>
      </x:c>
      <x:c r="K6" s="42" t="n">
        <x:f>'Annual cash flow'!C23</x:f>
        <x:v>3160.6041345374815</x:v>
      </x:c>
      <x:c r="L6" s="42" t="n">
        <x:f>'Annual cash flow'!C20</x:f>
        <x:v>1037.063730919542</x:v>
      </x:c>
    </x:row>
    <x:row r="7" ht="26" customHeight="1">
      <x:c r="A7" s="2"/>
      <x:c r="B7" s="8" t="str">
        <x:v>Purchase &amp; financing</x:v>
      </x:c>
      <x:c r="C7" s="8"/>
      <x:c r="D7" s="8"/>
      <x:c r="E7" s="2"/>
      <x:c r="F7" s="8" t="str">
        <x:v>Your first year</x:v>
      </x:c>
      <x:c r="G7" s="8"/>
      <x:c r="H7" s="8"/>
      <x:c r="J7" s="1" t="n">
        <x:f>'Annual cash flow'!D5</x:f>
        <x:v>2</x:v>
      </x:c>
      <x:c r="K7" s="42" t="n">
        <x:f>'Annual cash flow'!D23</x:f>
        <x:v>3538.6041345374815</x:v>
      </x:c>
      <x:c r="L7" s="42" t="n">
        <x:f>'Annual cash flow'!D20</x:f>
        <x:v>1117.573683530158</x:v>
      </x:c>
    </x:row>
    <x:row r="8" ht="22" customHeight="1">
      <x:c r="A8" s="2"/>
      <x:c r="B8" s="2" t="str">
        <x:v>Purchase price</x:v>
      </x:c>
      <x:c r="C8" s="10" t="n">
        <x:v>150000</x:v>
      </x:c>
      <x:c r="D8" s="4" t="str">
        <x:v>$</x:v>
      </x:c>
      <x:c r="E8" s="2"/>
      <x:c r="F8" s="2"/>
      <x:c r="G8" s="2"/>
      <x:c r="H8" s="2"/>
      <x:c r="J8" s="1" t="n">
        <x:f>'Annual cash flow'!E5</x:f>
        <x:v>3</x:v>
      </x:c>
      <x:c r="K8" s="42" t="n">
        <x:f>'Annual cash flow'!E23</x:f>
        <x:v>3927.9441345374817</x:v>
      </x:c>
      <x:c r="L8" s="42" t="n">
        <x:f>'Annual cash flow'!E20</x:f>
        <x:v>1204.3338329957119</x:v>
      </x:c>
    </x:row>
    <x:row r="9" ht="33" customHeight="1">
      <x:c r="A9" s="2"/>
      <x:c r="B9" s="2" t="str">
        <x:v>Down payment</x:v>
      </x:c>
      <x:c r="C9" s="10" t="n">
        <x:v>25</x:v>
      </x:c>
      <x:c r="D9" s="6" t="str">
        <x:v>% of price</x:v>
      </x:c>
      <x:c r="E9" s="2"/>
      <x:c r="F9" s="7" t="str">
        <x:v>Monthly cash flow</x:v>
      </x:c>
      <x:c r="G9" s="19" t="n">
        <x:f>'Annual cash flow'!C24</x:f>
        <x:v>263.3836778781235</x:v>
      </x:c>
      <x:c r="H9" s="7"/>
      <x:c r="J9" s="1" t="n">
        <x:f>'Annual cash flow'!F5</x:f>
        <x:v>4</x:v>
      </x:c>
      <x:c r="K9" s="42" t="n">
        <x:f>'Annual cash flow'!F23</x:f>
        <x:v>4328.964334537484</x:v>
      </x:c>
      <x:c r="L9" s="42" t="n">
        <x:f>'Annual cash flow'!F20</x:f>
        <x:v>1297.8293983414144</x:v>
      </x:c>
    </x:row>
    <x:row r="10" ht="22" customHeight="1">
      <x:c r="A10" s="2"/>
      <x:c r="B10" s="2" t="str">
        <x:v>Closing costs</x:v>
      </x:c>
      <x:c r="C10" s="10" t="n">
        <x:v>4</x:v>
      </x:c>
      <x:c r="D10" s="6" t="str">
        <x:v>% of price</x:v>
      </x:c>
      <x:c r="E10" s="2"/>
      <x:c r="F10" s="2"/>
      <x:c r="G10" s="2"/>
      <x:c r="H10" s="2"/>
      <x:c r="J10" s="1" t="n">
        <x:f>'Annual cash flow'!G5</x:f>
        <x:v>5</x:v>
      </x:c>
      <x:c r="K10" s="42" t="n">
        <x:f>'Annual cash flow'!G23</x:f>
        <x:v>4742.01514053748</x:v>
      </x:c>
      <x:c r="L10" s="42" t="n">
        <x:f>'Annual cash flow'!G20</x:f>
        <x:v>1398.583267406418</x:v>
      </x:c>
    </x:row>
    <x:row r="11" ht="33" customHeight="1">
      <x:c r="A11" s="2"/>
      <x:c r="B11" s="2" t="str">
        <x:v>Initial repairs &amp; renovations</x:v>
      </x:c>
      <x:c r="C11" s="10" t="n">
        <x:v>10000</x:v>
      </x:c>
      <x:c r="D11" s="4" t="str">
        <x:v>$</x:v>
      </x:c>
      <x:c r="E11" s="2"/>
      <x:c r="F11" s="7" t="str">
        <x:v>Cash-on-cash return</x:v>
      </x:c>
      <x:c r="G11" s="21" t="n">
        <x:f>'Annual cash flow'!C25</x:f>
        <x:v>0.05907671279509311</x:v>
      </x:c>
      <x:c r="H11" s="7"/>
      <x:c r="J11" s="1" t="n">
        <x:f>'Annual cash flow'!H5</x:f>
        <x:v>6</x:v>
      </x:c>
      <x:c r="K11" s="42" t="n">
        <x:f>'Annual cash flow'!H23</x:f>
        <x:v>5167.457470717485</x:v>
      </x:c>
      <x:c r="L11" s="42" t="n">
        <x:f>'Annual cash flow'!H20</x:f>
        <x:v>1507.1589211717376</x:v>
      </x:c>
    </x:row>
    <x:row r="12" ht="22" customHeight="1">
      <x:c r="A12" s="2"/>
      <x:c r="B12" s="2" t="str">
        <x:v>Mortgage interest rate</x:v>
      </x:c>
      <x:c r="C12" s="13" t="n">
        <x:v>0.075</x:v>
      </x:c>
      <x:c r="D12" s="4" t="str">
        <x:v>per year</x:v>
      </x:c>
      <x:c r="E12" s="2"/>
      <x:c r="F12" s="2"/>
      <x:c r="G12" s="2"/>
      <x:c r="H12" s="2"/>
      <x:c r="J12" s="1" t="n">
        <x:f>'Annual cash flow'!I5</x:f>
        <x:v>7</x:v>
      </x:c>
      <x:c r="K12" s="42" t="n">
        <x:f>'Annual cash flow'!I23</x:f>
        <x:v>5605.663070802884</x:v>
      </x:c>
      <x:c r="L12" s="42" t="n">
        <x:f>'Annual cash flow'!I20</x:f>
        <x:v>1624.163585111352</x:v>
      </x:c>
    </x:row>
    <x:row r="13" ht="33" customHeight="1">
      <x:c r="A13" s="2"/>
      <x:c r="B13" s="2" t="str">
        <x:v>Loan term</x:v>
      </x:c>
      <x:c r="C13" s="15" t="n">
        <x:v>30</x:v>
      </x:c>
      <x:c r="D13" s="4" t="str">
        <x:v>years</x:v>
      </x:c>
      <x:c r="E13" s="2"/>
      <x:c r="F13" s="7" t="str">
        <x:v>Upfront cash needed</x:v>
      </x:c>
      <x:c r="G13" s="19" t="n">
        <x:f>G19</x:f>
        <x:v>53500</x:v>
      </x:c>
      <x:c r="H13" s="7"/>
      <x:c r="J13" s="1" t="n">
        <x:f>'Annual cash flow'!J5</x:f>
        <x:v>8</x:v>
      </x:c>
      <x:c r="K13" s="42" t="n">
        <x:f>'Annual cash flow'!J23</x:f>
        <x:v>6057.014838890847</x:v>
      </x:c>
      <x:c r="L13" s="42" t="n">
        <x:f>'Annual cash flow'!J20</x:f>
        <x:v>1750.251625190875</x:v>
      </x:c>
    </x:row>
    <x:row r="14" ht="22" customHeight="1">
      <x:c r="A14" s="2"/>
      <x:c r="B14" s="2"/>
      <x:c r="C14" s="2"/>
      <x:c r="D14" s="2"/>
      <x:c r="E14" s="2"/>
      <x:c r="F14" s="26" t="str">
        <x:v>Before income tax. No appreciation or sale.</x:v>
      </x:c>
      <x:c r="G14" s="2"/>
      <x:c r="H14" s="2"/>
      <x:c r="J14" s="1" t="n">
        <x:f>'Annual cash flow'!K5</x:f>
        <x:v>9</x:v>
      </x:c>
      <x:c r="K14" s="42" t="n">
        <x:f>'Annual cash flow'!K23</x:f>
        <x:v>6521.907160021448</x:v>
      </x:c>
      <x:c r="L14" s="42" t="n">
        <x:f>'Annual cash flow'!K20</x:f>
        <x:v>1886.128207506435</x:v>
      </x:c>
    </x:row>
    <x:row r="15" ht="26" customHeight="1">
      <x:c r="A15" s="2"/>
      <x:c r="B15" s="8" t="str">
        <x:v>Rent &amp; expenses</x:v>
      </x:c>
      <x:c r="C15" s="8"/>
      <x:c r="D15" s="8"/>
      <x:c r="E15" s="2"/>
      <x:c r="F15" s="2"/>
      <x:c r="G15" s="2"/>
      <x:c r="H15" s="2"/>
      <x:c r="J15" s="1" t="n">
        <x:f>'Annual cash flow'!L5</x:f>
        <x:v>10</x:v>
      </x:c>
      <x:c r="K15" s="42" t="n">
        <x:f>'Annual cash flow'!L23</x:f>
        <x:v>7000.746250785973</x:v>
      </x:c>
      <x:c r="L15" s="42" t="n">
        <x:f>'Annual cash flow'!L20</x:f>
        <x:v>2032.553242030827</x:v>
      </x:c>
    </x:row>
    <x:row r="16" ht="22" customHeight="1">
      <x:c r="A16" s="2"/>
      <x:c r="B16" s="2" t="str">
        <x:v>Monthly rent</x:v>
      </x:c>
      <x:c r="C16" s="10" t="n">
        <x:v>2000</x:v>
      </x:c>
      <x:c r="D16" s="4" t="str">
        <x:v>$ / month</x:v>
      </x:c>
      <x:c r="E16" s="2"/>
      <x:c r="F16" s="2" t="str">
        <x:v>Down payment</x:v>
      </x:c>
      <x:c r="G16" s="16" t="n">
        <x:f>IF(D9="% of price",C8*C9/100,C9)</x:f>
        <x:v>37500</x:v>
      </x:c>
      <x:c r="H16" s="2"/>
      <x:c r="J16" s="1" t="n">
        <x:f>'Annual cash flow'!M5</x:f>
        <x:v>11</x:v>
      </x:c>
      <x:c r="K16" s="42" t="n">
        <x:f>'Annual cash flow'!M23</x:f>
        <x:v>7493.950514273425</x:v>
      </x:c>
      <x:c r="L16" s="42" t="n">
        <x:f>'Annual cash flow'!M20</x:f>
        <x:v>2190.345632522932</x:v>
      </x:c>
    </x:row>
    <x:row r="17" ht="22" customHeight="1">
      <x:c r="A17" s="2"/>
      <x:c r="B17" s="2" t="str">
        <x:v>Vacancy &amp; unpaid rent</x:v>
      </x:c>
      <x:c r="C17" s="10" t="n">
        <x:v>5</x:v>
      </x:c>
      <x:c r="D17" s="6" t="str">
        <x:v>% of rent</x:v>
      </x:c>
      <x:c r="E17" s="2"/>
      <x:c r="F17" s="2" t="str">
        <x:v>Closing costs</x:v>
      </x:c>
      <x:c r="G17" s="16" t="n">
        <x:f>IF(D10="% of price",C8*C10/100,C10)</x:f>
        <x:v>6000</x:v>
      </x:c>
      <x:c r="H17" s="2"/>
      <x:c r="J17" s="1" t="n">
        <x:f>'Annual cash flow'!N5</x:f>
        <x:v>12</x:v>
      </x:c>
      <x:c r="K17" s="42" t="n">
        <x:f>'Annual cash flow'!N23</x:f>
        <x:v>8001.950905665499</x:v>
      </x:c>
      <x:c r="L17" s="42" t="n">
        <x:f>'Annual cash flow'!N20</x:f>
        <x:v>2360.387856368645</x:v>
      </x:c>
    </x:row>
    <x:row r="18" ht="22" customHeight="1">
      <x:c r="A18" s="2"/>
      <x:c r="B18" s="2" t="str">
        <x:v>Property management</x:v>
      </x:c>
      <x:c r="C18" s="10" t="n">
        <x:v>10</x:v>
      </x:c>
      <x:c r="D18" s="6" t="str">
        <x:v>% of rent</x:v>
      </x:c>
      <x:c r="E18" s="2"/>
      <x:c r="F18" s="2" t="str">
        <x:v>Initial repairs &amp; renovations</x:v>
      </x:c>
      <x:c r="G18" s="16" t="n">
        <x:f>C11</x:f>
        <x:v>10000</x:v>
      </x:c>
      <x:c r="H18" s="2"/>
      <x:c r="J18" s="1" t="n">
        <x:f>'Annual cash flow'!O5</x:f>
        <x:v>13</x:v>
      </x:c>
      <x:c r="K18" s="42" t="n">
        <x:f>'Annual cash flow'!O23</x:f>
        <x:v>8525.191308799343</x:v>
      </x:c>
      <x:c r="L18" s="42" t="n">
        <x:f>'Annual cash flow'!O20</x:f>
        <x:v>2543.6308999667594</x:v>
      </x:c>
    </x:row>
    <x:row r="19" ht="22" customHeight="1">
      <x:c r="A19" s="2"/>
      <x:c r="B19" s="2" t="str">
        <x:v>Maintenance reserve</x:v>
      </x:c>
      <x:c r="C19" s="10" t="n">
        <x:v>10</x:v>
      </x:c>
      <x:c r="D19" s="6" t="str">
        <x:v>% of rent</x:v>
      </x:c>
      <x:c r="E19" s="2"/>
      <x:c r="F19" s="24" t="str">
        <x:v>Total upfront cash</x:v>
      </x:c>
      <x:c r="G19" s="25" t="n">
        <x:f>SUM(G16:G18)</x:f>
        <x:v>53500</x:v>
      </x:c>
      <x:c r="H19" s="2"/>
      <x:c r="J19" s="1" t="n">
        <x:f>'Annual cash flow'!P5</x:f>
        <x:v>14</x:v>
      </x:c>
      <x:c r="K19" s="42" t="n">
        <x:f>'Annual cash flow'!P23</x:f>
        <x:v>9064.1289240272</x:v>
      </x:c>
      <x:c r="L19" s="42" t="n">
        <x:f>'Annual cash flow'!P20</x:f>
        <x:v>2741.0995772616843</x:v>
      </x:c>
    </x:row>
    <x:row r="20" ht="22" customHeight="1">
      <x:c r="A20" s="2"/>
      <x:c r="B20" s="2" t="str">
        <x:v>Major replacement reserve</x:v>
      </x:c>
      <x:c r="C20" s="10" t="n">
        <x:v>10</x:v>
      </x:c>
      <x:c r="D20" s="6" t="str">
        <x:v>% of rent</x:v>
      </x:c>
      <x:c r="E20" s="2"/>
      <x:c r="F20" s="2"/>
      <x:c r="G20" s="2"/>
      <x:c r="H20" s="2"/>
      <x:c r="J20" s="1" t="n">
        <x:f>'Annual cash flow'!Q5</x:f>
        <x:v>15</x:v>
      </x:c>
      <x:c r="K20" s="42" t="n">
        <x:f>'Annual cash flow'!Q23</x:f>
        <x:v>9619.23466771189</x:v>
      </x:c>
      <x:c r="L20" s="42" t="n">
        <x:f>'Annual cash flow'!Q20</x:f>
        <x:v>2953.898261167678</x:v>
      </x:c>
    </x:row>
    <x:row r="21" ht="22" customHeight="1">
      <x:c r="A21" s="2"/>
      <x:c r="B21" s="2" t="str">
        <x:v>Insurance</x:v>
      </x:c>
      <x:c r="C21" s="10" t="n">
        <x:v>1200</x:v>
      </x:c>
      <x:c r="D21" s="6" t="str">
        <x:v>$ / year</x:v>
      </x:c>
      <x:c r="E21" s="2"/>
      <x:c r="F21" s="2" t="str">
        <x:v>Mortgage amount</x:v>
      </x:c>
      <x:c r="G21" s="16" t="n">
        <x:f>C8-G16</x:f>
        <x:v>112500</x:v>
      </x:c>
      <x:c r="H21" s="2"/>
      <x:c r="J21" s="1" t="n">
        <x:f>'Annual cash flow'!R5</x:f>
        <x:v>16</x:v>
      </x:c>
      <x:c r="K21" s="42" t="n">
        <x:f>'Annual cash flow'!R23</x:f>
        <x:v>10190.993583707119</x:v>
      </x:c>
      <x:c r="L21" s="42" t="n">
        <x:f>'Annual cash flow'!R20</x:f>
        <x:v>3183.217059938436</x:v>
      </x:c>
    </x:row>
    <x:row r="22" ht="22" customHeight="1">
      <x:c r="A22" s="2"/>
      <x:c r="B22" s="2" t="str">
        <x:v>Property taxes</x:v>
      </x:c>
      <x:c r="C22" s="10" t="n">
        <x:v>1800</x:v>
      </x:c>
      <x:c r="D22" s="6" t="str">
        <x:v>$ / year</x:v>
      </x:c>
      <x:c r="E22" s="2"/>
      <x:c r="F22" s="2" t="str">
        <x:v>Monthly principal &amp; interest</x:v>
      </x:c>
      <x:c r="G22" s="16" t="n">
        <x:f>IF(G21=0,0,IF(C12=0,G21/(C13*12),-PMT(C12/12,C13*12,G21)))</x:f>
        <x:v>786.6163221218766</x:v>
      </x:c>
      <x:c r="H22" s="2"/>
      <x:c r="J22" s="1" t="n">
        <x:f>'Annual cash flow'!S5</x:f>
        <x:v>17</x:v>
      </x:c>
      <x:c r="K22" s="42" t="n">
        <x:f>'Annual cash flow'!S23</x:f>
        <x:v>10779.905267182216</x:v>
      </x:c>
      <x:c r="L22" s="42" t="n">
        <x:f>'Annual cash flow'!S20</x:f>
        <x:v>3430.338473024312</x:v>
      </x:c>
    </x:row>
    <x:row r="23" ht="22" customHeight="1">
      <x:c r="A23" s="2"/>
      <x:c r="B23" s="2" t="str">
        <x:v>Other expenses</x:v>
      </x:c>
      <x:c r="C23" s="10" t="n">
        <x:v>0</x:v>
      </x:c>
      <x:c r="D23" s="4" t="str">
        <x:v>$ / month</x:v>
      </x:c>
      <x:c r="E23" s="2"/>
      <x:c r="F23" s="2"/>
      <x:c r="G23" s="2"/>
      <x:c r="H23" s="2"/>
      <x:c r="J23" s="1" t="n">
        <x:f>'Annual cash flow'!T5</x:f>
        <x:v>18</x:v>
      </x:c>
      <x:c r="K23" s="42" t="n">
        <x:f>'Annual cash flow'!T23</x:f>
        <x:v>11386.484301161554</x:v>
      </x:c>
      <x:c r="L23" s="42" t="n">
        <x:f>'Annual cash flow'!T20</x:f>
        <x:v>3696.644563641019</x:v>
      </x:c>
    </x:row>
    <x:row r="24" ht="22" customHeight="1">
      <x:c r="A24" s="2"/>
      <x:c r="B24" s="2"/>
      <x:c r="C24" s="2"/>
      <x:c r="D24" s="2"/>
      <x:c r="E24" s="2"/>
      <x:c r="F24" s="2" t="str">
        <x:v>Principal repaid in Year 1</x:v>
      </x:c>
      <x:c r="G24" s="16" t="n">
        <x:f>'Annual cash flow'!C20</x:f>
        <x:v>1037.063730919542</x:v>
      </x:c>
      <x:c r="H24" s="2"/>
      <x:c r="J24" s="1" t="n">
        <x:f>'Annual cash flow'!U5</x:f>
        <x:v>19</x:v>
      </x:c>
      <x:c r="K24" s="42" t="n">
        <x:f>'Annual cash flow'!U23</x:f>
        <x:v>12011.260706160281</x:v>
      </x:c>
      <x:c r="L24" s="42" t="n">
        <x:f>'Annual cash flow'!U20</x:f>
        <x:v>3983.6246881634897</x:v>
      </x:c>
    </x:row>
    <x:row r="25" ht="26" customHeight="1">
      <x:c r="A25" s="2"/>
      <x:c r="B25" s="8" t="str">
        <x:v>Future assumptions</x:v>
      </x:c>
      <x:c r="C25" s="8"/>
      <x:c r="D25" s="8"/>
      <x:c r="E25" s="2"/>
      <x:c r="F25" s="2" t="str">
        <x:v>Equity at end of Year 1</x:v>
      </x:c>
      <x:c r="G25" s="16" t="n">
        <x:f>'Annual cash flow'!C28</x:f>
        <x:v>38537.063730919544</x:v>
      </x:c>
      <x:c r="H25" s="2"/>
      <x:c r="J25" s="1" t="n">
        <x:f>'Annual cash flow'!V5</x:f>
        <x:v>20</x:v>
      </x:c>
      <x:c r="K25" s="42" t="n">
        <x:f>'Annual cash flow'!V23</x:f>
        <x:v>12654.780403308958</x:v>
      </x:c>
      <x:c r="L25" s="42" t="n">
        <x:f>'Annual cash flow'!V20</x:f>
        <x:v>4292.88382557267</x:v>
      </x:c>
    </x:row>
    <x:row r="26" ht="22" customHeight="1">
      <x:c r="A26" s="2"/>
      <x:c r="B26" s="2" t="str">
        <x:v>Annual rent change</x:v>
      </x:c>
      <x:c r="C26" s="13" t="n">
        <x:v>0.03</x:v>
      </x:c>
      <x:c r="D26" s="4" t="str">
        <x:v>per year</x:v>
      </x:c>
      <x:c r="E26" s="2"/>
      <x:c r="F26" s="2" t="str">
        <x:v>Annual net operating income</x:v>
      </x:c>
      <x:c r="G26" s="16" t="n">
        <x:f>'Annual cash flow'!C17</x:f>
        <x:v>15000</x:v>
      </x:c>
      <x:c r="H26" s="2"/>
      <x:c r="J26" s="1" t="n">
        <x:f>'Annual cash flow'!W5</x:f>
        <x:v>21</x:v>
      </x:c>
      <x:c r="K26" s="42" t="n">
        <x:f>'Annual cash flow'!W23</x:f>
        <x:v>13317.605691372102</x:v>
      </x:c>
      <x:c r="L26" s="42" t="n">
        <x:f>'Annual cash flow'!W20</x:f>
        <x:v>4626.151553538896</x:v>
      </x:c>
    </x:row>
    <x:row r="27" ht="22" customHeight="1">
      <x:c r="A27" s="2"/>
      <x:c r="B27" s="2" t="str">
        <x:v>Annual fixed-expense change</x:v>
      </x:c>
      <x:c r="C27" s="13" t="n">
        <x:v>0.03</x:v>
      </x:c>
      <x:c r="D27" s="4" t="str">
        <x:v>per year</x:v>
      </x:c>
      <x:c r="E27" s="2"/>
      <x:c r="F27" s="2" t="str">
        <x:v>Cap rate</x:v>
      </x:c>
      <x:c r="G27" s="17" t="n">
        <x:f>G26/C8</x:f>
        <x:v>0.1</x:v>
      </x:c>
      <x:c r="H27" s="2"/>
      <x:c r="J27" s="1" t="n">
        <x:f>'Annual cash flow'!X5</x:f>
        <x:v>22</x:v>
      </x:c>
      <x:c r="K27" s="42" t="n">
        <x:f>'Annual cash flow'!X23</x:f>
        <x:v>14000.315738077143</x:v>
      </x:c>
      <x:c r="L27" s="42" t="n">
        <x:f>'Annual cash flow'!X20</x:f>
        <x:v>4985.291721341988</x:v>
      </x:c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J28" s="1" t="n">
        <x:f>'Annual cash flow'!Y5</x:f>
        <x:v>23</x:v>
      </x:c>
      <x:c r="K28" s="42" t="n">
        <x:f>'Annual cash flow'!Y23</x:f>
        <x:v>14703.50708618334</x:v>
      </x:c>
      <x:c r="L28" s="42" t="n">
        <x:f>'Annual cash flow'!Y20</x:f>
        <x:v>5372.312873725224</x:v>
      </x:c>
    </x:row>
    <x:row r="29" ht="22" customHeight="1">
      <x:c r="A29" s="2"/>
      <x:c r="B29" s="27" t="str">
        <x:f>IF(COUNT(C8:C13,C16:C23,C26:C27)&lt;16,"Fill in every yellow number field.",IF(OR(C8&lt;=0,MIN(C9:C13,C16:C23)&lt;0,C12&gt;1,C13&lt;1,C13&gt;50,C13&lt;&gt;INT(C13),MIN(C26:C27)&lt;-1,MAX(C26:C27)&gt;1,G16&gt;C8),"Check price, loan, cost and growth inputs.",IF(OR(AND(D9="% of price",C9&gt;100),AND(D10="% of price",C10&gt;100),AND(D17="% of rent",C17&gt;100),AND(D18="% of rent",C18&gt;100),AND(D19="% of rent",C19&gt;100),AND(D20="% of rent",C20&gt;100),AND(D21="% of price",C21&gt;100),AND(D22="% of price",C22&gt;100)),"Percent costs must be between 0 and 100.","")))</x:f>
      </x:c>
      <x:c r="C29" s="2"/>
      <x:c r="D29" s="2"/>
      <x:c r="E29" s="2"/>
      <x:c r="F29" s="2"/>
      <x:c r="G29" s="2"/>
      <x:c r="H29" s="2"/>
      <x:c r="J29" s="1" t="n">
        <x:f>'Annual cash flow'!Z5</x:f>
        <x:v>24</x:v>
      </x:c>
      <x:c r="K29" s="42" t="n">
        <x:f>'Annual cash flow'!Z23</x:f>
        <x:v>15427.794174732715</x:v>
      </x:c>
      <x:c r="L29" s="42" t="n">
        <x:f>'Annual cash flow'!Z20</x:f>
        <x:v>5789.379483980226</x:v>
      </x:c>
    </x:row>
    <x:row r="30" ht="22" customHeight="1">
      <x:c r="A30" s="2"/>
      <x:c r="B30" s="22" t="str">
        <x:v>Using this workbook</x:v>
      </x:c>
      <x:c r="C30" s="2"/>
      <x:c r="D30" s="2"/>
      <x:c r="E30" s="2"/>
      <x:c r="F30" s="2"/>
      <x:c r="G30" s="2"/>
      <x:c r="H30" s="2"/>
      <x:c r="J30" s="1" t="n">
        <x:f>'Annual cash flow'!AA5</x:f>
        <x:v>25</x:v>
      </x:c>
      <x:c r="K30" s="42" t="n">
        <x:f>'Annual cash flow'!AA23</x:f>
        <x:v>16173.80987593857</x:v>
      </x:c>
      <x:c r="L30" s="42" t="n">
        <x:f>'Annual cash flow'!AA20</x:f>
        <x:v>6238.8240590854</x:v>
      </x:c>
    </x:row>
    <x:row r="31" ht="22" customHeight="1">
      <x:c r="A31" s="2"/>
      <x:c r="B31" s="4" t="str">
        <x:v>Edit blue values in the yellow cells.</x:v>
      </x:c>
      <x:c r="C31" s="2"/>
      <x:c r="D31" s="2"/>
      <x:c r="E31" s="2"/>
      <x:c r="F31" s="2"/>
      <x:c r="G31" s="2"/>
      <x:c r="H31" s="2"/>
      <x:c r="J31" s="1" t="n">
        <x:f>'Annual cash flow'!AB5</x:f>
        <x:v>26</x:v>
      </x:c>
      <x:c r="K31" s="42" t="n">
        <x:f>'Annual cash flow'!AB23</x:f>
        <x:v>16942.20604818061</x:v>
      </x:c>
      <x:c r="L31" s="42" t="n">
        <x:f>'Annual cash flow'!AB20</x:f>
        <x:v>6723.160184597733</x:v>
      </x:c>
    </x:row>
    <x:row r="32" ht="22" customHeight="1">
      <x:c r="A32" s="2"/>
      <x:c r="B32" s="4" t="str">
        <x:v>Use the unit menus to switch between % and $.</x:v>
      </x:c>
      <x:c r="C32" s="2"/>
      <x:c r="D32" s="2"/>
      <x:c r="E32" s="2"/>
      <x:c r="F32" s="2"/>
      <x:c r="G32" s="2"/>
      <x:c r="H32" s="2"/>
      <x:c r="J32" s="1" t="n">
        <x:f>'Annual cash flow'!AC5</x:f>
        <x:v>27</x:v>
      </x:c>
      <x:c r="K32" s="42" t="n">
        <x:f>'Annual cash flow'!AC23</x:f>
        <x:v>17733.6541055899</x:v>
      </x:c>
      <x:c r="L32" s="42" t="n">
        <x:f>'Annual cash flow'!AC20</x:f>
        <x:v>7245.09658225345</x:v>
      </x:c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J33" s="1" t="n">
        <x:f>'Annual cash flow'!AD5</x:f>
        <x:v>28</x:v>
      </x:c>
      <x:c r="K33" s="42" t="n">
        <x:f>'Annual cash flow'!AD23</x:f>
        <x:v>18548.84560472148</x:v>
      </x:c>
      <x:c r="L33" s="42" t="n">
        <x:f>'Annual cash flow'!AD20</x:f>
        <x:v>7807.552258896734</x:v>
      </x:c>
    </x:row>
    <x:row r="34" ht="22" customHeight="1">
      <x:c r="A34" s="2"/>
      <x:c r="B34" s="4" t="str">
        <x:v>Percent-of-rent costs follow the rent assumption.</x:v>
      </x:c>
      <x:c r="C34" s="2"/>
      <x:c r="D34" s="2"/>
      <x:c r="E34" s="2"/>
      <x:c r="F34" s="2"/>
      <x:c r="G34" s="2"/>
      <x:c r="H34" s="2"/>
      <x:c r="J34" s="1" t="n">
        <x:f>'Annual cash flow'!AE5</x:f>
        <x:v>29</x:v>
      </x:c>
      <x:c r="K34" s="42" t="n">
        <x:f>'Annual cash flow'!AE23</x:f>
        <x:v>19388.492848826987</x:v>
      </x:c>
      <x:c r="L34" s="42" t="n">
        <x:f>'Annual cash flow'!AE20</x:f>
        <x:v>8413.672831459166</x:v>
      </x:c>
    </x:row>
    <x:row r="35" ht="22" customHeight="1">
      <x:c r="A35" s="2"/>
      <x:c r="B35" s="4" t="str">
        <x:v>Dollar expenses follow fixed-expense growth.</x:v>
      </x:c>
      <x:c r="C35" s="2"/>
      <x:c r="D35" s="2"/>
      <x:c r="E35" s="2"/>
      <x:c r="F35" s="2"/>
      <x:c r="G35" s="2"/>
      <x:c r="H35" s="2"/>
      <x:c r="J35" s="1" t="n">
        <x:f>'Annual cash flow'!AF5</x:f>
        <x:v>30</x:v>
      </x:c>
      <x:c r="K35" s="42" t="n">
        <x:f>'Annual cash flow'!AF23</x:f>
        <x:v>20253.32951025568</x:v>
      </x:c>
      <x:c r="L35" s="42" t="n">
        <x:f>'Annual cash flow'!AF20</x:f>
        <x:v>9066.848119289722</x:v>
      </x:c>
    </x:row>
    <x:row r="36" ht="22" customHeight="1">
      <x:c r="A36" s="2"/>
      <x:c r="B36" s="2"/>
      <x:c r="C36" s="2"/>
      <x:c r="D36" s="2"/>
      <x:c r="E36" s="2"/>
      <x:c r="F36" s="2"/>
      <x:c r="G36" s="2"/>
      <x:c r="H36" s="2"/>
    </x:row>
    <x:row r="37" ht="22" customHeight="1">
      <x:c r="A37" s="2"/>
      <x:c r="B37" s="4" t="str">
        <x:v>Insurance and property taxes are annual inputs.</x:v>
      </x:c>
      <x:c r="C37" s="2"/>
      <x:c r="D37" s="2"/>
      <x:c r="E37" s="2"/>
      <x:c r="F37" s="2"/>
      <x:c r="G37" s="2"/>
      <x:c r="H37" s="2"/>
    </x:row>
    <x:row r="38" ht="22" customHeight="1">
      <x:c r="A38" s="2"/>
      <x:c r="B38" s="4" t="str">
        <x:v>Year 1 uses today's rent and expenses.</x:v>
      </x:c>
      <x:c r="C38" s="2"/>
      <x:c r="D38" s="2"/>
      <x:c r="E38" s="2"/>
      <x:c r="F38" s="2"/>
      <x:c r="G38" s="2"/>
      <x:c r="H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</x:row>
    <x:row r="40" ht="22" customHeight="1">
      <x:c r="A40" s="2"/>
      <x:c r="B40" s="4" t="str">
        <x:v>Cash flow is after reserves and the mortgage.</x:v>
      </x:c>
      <x:c r="C40" s="2"/>
      <x:c r="D40" s="2"/>
      <x:c r="E40" s="2"/>
      <x:c r="F40" s="2"/>
      <x:c r="G40" s="2"/>
      <x:c r="H40" s="2"/>
    </x:row>
    <x:row r="41" ht="22" customHeight="1">
      <x:c r="A41" s="2"/>
      <x:c r="B41" s="4" t="str">
        <x:v>Equity includes the down payment and principal repaid.</x:v>
      </x:c>
      <x:c r="C41" s="2"/>
      <x:c r="D41" s="2"/>
      <x:c r="E41" s="2"/>
      <x:c r="F41" s="2"/>
      <x:c r="G41" s="2"/>
      <x:c r="H41" s="2"/>
    </x:row>
    <x:row r="42" ht="22" customHeight="1">
      <x:c r="A42" s="2"/>
      <x:c r="B42" s="4" t="str">
        <x:v>Equity is not spendable cash.</x:v>
      </x:c>
      <x:c r="C42" s="2"/>
      <x:c r="D42" s="2"/>
      <x:c r="E42" s="2"/>
      <x:c r="F42" s="2"/>
      <x:c r="G42" s="2"/>
      <x:c r="H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</x:row>
    <x:row r="44" ht="22" customHeight="1">
      <x:c r="A44" s="2"/>
      <x:c r="B44" s="4" t="str">
        <x:v>Example inputs are illustrative. Use your own quotes.</x:v>
      </x:c>
      <x:c r="C44" s="2"/>
      <x:c r="D44" s="2"/>
      <x:c r="E44" s="2"/>
      <x:c r="F44" s="2"/>
      <x:c r="G44" s="2"/>
      <x:c r="H44" s="2"/>
    </x:row>
    <x:row r="45" ht="22" customHeight="1">
      <x:c r="A45" s="2"/>
      <x:c r="B45" s="4" t="str">
        <x:v>Before income tax. Excludes appreciation and sale costs.</x:v>
      </x:c>
      <x:c r="C45" s="2"/>
      <x:c r="D45" s="2"/>
      <x:c r="E45" s="2"/>
      <x:c r="F45" s="2"/>
      <x:c r="G45" s="2"/>
      <x:c r="H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</x:row>
    <x:row r="47" ht="22" customHeight="1">
      <x:c r="A47" s="2"/>
      <x:c r="B47" s="4" t="str">
        <x:v>Online analyzer: therentalwire.com/rental_property_calculator.html</x:v>
      </x:c>
      <x:c r="C47" s="2"/>
      <x:c r="D47" s="2"/>
      <x:c r="E47" s="2"/>
      <x:c r="F47" s="2"/>
      <x:c r="G47" s="2"/>
      <x:c r="H47" s="2"/>
    </x:row>
    <x:row r="48" ht="22" customHeight="1">
      <x:c r="A48" s="2"/>
      <x:c r="B48" s="4" t="str">
        <x:v>Terms: therentalwire.com/calculator_terms.html</x:v>
      </x:c>
      <x:c r="C48" s="2"/>
      <x:c r="D48" s="2"/>
      <x:c r="E48" s="2"/>
      <x:c r="F48" s="2"/>
      <x:c r="G48" s="2"/>
      <x:c r="H48" s="2"/>
    </x:row>
  </x:sheetData>
  <x:dataValidations count="9">
    <x:dataValidation type="list" sqref="D9">
      <x:formula1>"% of price,$"</x:formula1>
    </x:dataValidation>
    <x:dataValidation type="list" sqref="D10">
      <x:formula1>"% of price,$"</x:formula1>
    </x:dataValidation>
    <x:dataValidation type="list" sqref="D17">
      <x:formula1>"% of rent,$ / month"</x:formula1>
    </x:dataValidation>
    <x:dataValidation type="list" sqref="D18">
      <x:formula1>"% of rent,$ / month"</x:formula1>
    </x:dataValidation>
    <x:dataValidation type="list" sqref="D19">
      <x:formula1>"% of rent,$ / month"</x:formula1>
    </x:dataValidation>
    <x:dataValidation type="list" sqref="D20">
      <x:formula1>"% of rent,$ / month"</x:formula1>
    </x:dataValidation>
    <x:dataValidation type="list" sqref="D21">
      <x:formula1>"% of price,$ / year"</x:formula1>
    </x:dataValidation>
    <x:dataValidation type="list" sqref="D22">
      <x:formula1>"% of price,$ / year"</x:formula1>
    </x:dataValidation>
    <x:dataValidation type="whole" operator="between" sqref="C13">
      <x:formula1>1</x:formula1>
      <x:formula2>50</x:formula2>
    </x:dataValidation>
  </x:dataValidations>
  <x:pageMargins left="0.7" right="0.7" top="0.75" bottom="0.75" header="0.3" footer="0.3"/>
  <x:drawing xmlns:r="http://schemas.openxmlformats.org/officeDocument/2006/relationships" r:id="R8dd39431f77e4ab5"/>
</x:worksheet>
</file>

<file path=xl/worksheets/sheet2.xml><?xml version="1.0" encoding="utf-8"?>
<x:worksheet xmlns:x="http://schemas.openxmlformats.org/spreadsheetml/2006/main">
  <x:sheetPr>
    <x:tabColor rgb="FF185E9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2" customHeight="1">
      <x:c r="A2" s="2"/>
      <x:c r="B2" s="3" t="str">
        <x:v>Annual cash flow &amp; equity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2" customHeight="1">
      <x:c r="A3" s="2"/>
      <x:c r="B3" s="26" t="str">
        <x:v>Before income tax. Equity holds the property value at the purchase price.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26" customHeight="1">
      <x:c r="A5" s="2"/>
      <x:c r="B5" s="30" t="str">
        <x:v>Projection</x:v>
      </x:c>
      <x:c r="C5" s="31" t="n">
        <x:v>1</x:v>
      </x:c>
      <x:c r="D5" s="31" t="n">
        <x:v>2</x:v>
      </x:c>
      <x:c r="E5" s="31" t="n">
        <x:v>3</x:v>
      </x:c>
      <x:c r="F5" s="31" t="n">
        <x:v>4</x:v>
      </x:c>
      <x:c r="G5" s="31" t="n">
        <x:v>5</x:v>
      </x:c>
      <x:c r="H5" s="31" t="n">
        <x:v>6</x:v>
      </x:c>
      <x:c r="I5" s="31" t="n">
        <x:v>7</x:v>
      </x:c>
      <x:c r="J5" s="31" t="n">
        <x:v>8</x:v>
      </x:c>
      <x:c r="K5" s="31" t="n">
        <x:v>9</x:v>
      </x:c>
      <x:c r="L5" s="31" t="n">
        <x:v>10</x:v>
      </x:c>
      <x:c r="M5" s="31" t="n">
        <x:v>11</x:v>
      </x:c>
      <x:c r="N5" s="31" t="n">
        <x:v>12</x:v>
      </x:c>
      <x:c r="O5" s="31" t="n">
        <x:v>13</x:v>
      </x:c>
      <x:c r="P5" s="31" t="n">
        <x:v>14</x:v>
      </x:c>
      <x:c r="Q5" s="31" t="n">
        <x:v>15</x:v>
      </x:c>
      <x:c r="R5" s="31" t="n">
        <x:v>16</x:v>
      </x:c>
      <x:c r="S5" s="31" t="n">
        <x:v>17</x:v>
      </x:c>
      <x:c r="T5" s="31" t="n">
        <x:v>18</x:v>
      </x:c>
      <x:c r="U5" s="31" t="n">
        <x:v>19</x:v>
      </x:c>
      <x:c r="V5" s="31" t="n">
        <x:v>20</x:v>
      </x:c>
      <x:c r="W5" s="31" t="n">
        <x:v>21</x:v>
      </x:c>
      <x:c r="X5" s="31" t="n">
        <x:v>22</x:v>
      </x:c>
      <x:c r="Y5" s="31" t="n">
        <x:v>23</x:v>
      </x:c>
      <x:c r="Z5" s="31" t="n">
        <x:v>24</x:v>
      </x:c>
      <x:c r="AA5" s="31" t="n">
        <x:v>25</x:v>
      </x:c>
      <x:c r="AB5" s="31" t="n">
        <x:v>26</x:v>
      </x:c>
      <x:c r="AC5" s="31" t="n">
        <x:v>27</x:v>
      </x:c>
      <x:c r="AD5" s="31" t="n">
        <x:v>28</x:v>
      </x:c>
      <x:c r="AE5" s="31" t="n">
        <x:v>29</x:v>
      </x:c>
      <x:c r="AF5" s="31" t="n">
        <x:v>30</x:v>
      </x:c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22" customHeight="1">
      <x:c r="A7" s="2"/>
      <x:c r="B7" s="2" t="str">
        <x:v>Monthly scheduled rent</x:v>
      </x:c>
      <x:c r="C7" s="32" t="n">
        <x:f>'Analysis'!$C$16*(1+'Analysis'!$C$26)^(C$5-1)</x:f>
        <x:v>2000</x:v>
      </x:c>
      <x:c r="D7" s="32" t="n">
        <x:f>'Analysis'!$C$16*(1+'Analysis'!$C$26)^(D$5-1)</x:f>
        <x:v>2060</x:v>
      </x:c>
      <x:c r="E7" s="32" t="n">
        <x:f>'Analysis'!$C$16*(1+'Analysis'!$C$26)^(E$5-1)</x:f>
        <x:v>2121.7999999999997</x:v>
      </x:c>
      <x:c r="F7" s="32" t="n">
        <x:f>'Analysis'!$C$16*(1+'Analysis'!$C$26)^(F$5-1)</x:f>
        <x:v>2185.454</x:v>
      </x:c>
      <x:c r="G7" s="32" t="n">
        <x:f>'Analysis'!$C$16*(1+'Analysis'!$C$26)^(G$5-1)</x:f>
        <x:v>2251.01762</x:v>
      </x:c>
      <x:c r="H7" s="32" t="n">
        <x:f>'Analysis'!$C$16*(1+'Analysis'!$C$26)^(H$5-1)</x:f>
        <x:v>2318.5481486000003</x:v>
      </x:c>
      <x:c r="I7" s="32" t="n">
        <x:f>'Analysis'!$C$16*(1+'Analysis'!$C$26)^(I$5-1)</x:f>
        <x:v>2388.1045930580003</x:v>
      </x:c>
      <x:c r="J7" s="32" t="n">
        <x:f>'Analysis'!$C$16*(1+'Analysis'!$C$26)^(J$5-1)</x:f>
        <x:v>2459.7477308497405</x:v>
      </x:c>
      <x:c r="K7" s="32" t="n">
        <x:f>'Analysis'!$C$16*(1+'Analysis'!$C$26)^(K$5-1)</x:f>
        <x:v>2533.5401627752326</x:v>
      </x:c>
      <x:c r="L7" s="32" t="n">
        <x:f>'Analysis'!$C$16*(1+'Analysis'!$C$26)^(L$5-1)</x:f>
        <x:v>2609.54636765849</x:v>
      </x:c>
      <x:c r="M7" s="32" t="n">
        <x:f>'Analysis'!$C$16*(1+'Analysis'!$C$26)^(M$5-1)</x:f>
        <x:v>2687.8327586882447</x:v>
      </x:c>
      <x:c r="N7" s="32" t="n">
        <x:f>'Analysis'!$C$16*(1+'Analysis'!$C$26)^(N$5-1)</x:f>
        <x:v>2768.467741448892</x:v>
      </x:c>
      <x:c r="O7" s="32" t="n">
        <x:f>'Analysis'!$C$16*(1+'Analysis'!$C$26)^(O$5-1)</x:f>
        <x:v>2851.5217736923587</x:v>
      </x:c>
      <x:c r="P7" s="32" t="n">
        <x:f>'Analysis'!$C$16*(1+'Analysis'!$C$26)^(P$5-1)</x:f>
        <x:v>2937.0674269031297</x:v>
      </x:c>
      <x:c r="Q7" s="32" t="n">
        <x:f>'Analysis'!$C$16*(1+'Analysis'!$C$26)^(Q$5-1)</x:f>
        <x:v>3025.1794497102237</x:v>
      </x:c>
      <x:c r="R7" s="32" t="n">
        <x:f>'Analysis'!$C$16*(1+'Analysis'!$C$26)^(R$5-1)</x:f>
        <x:v>3115.93483320153</x:v>
      </x:c>
      <x:c r="S7" s="32" t="n">
        <x:f>'Analysis'!$C$16*(1+'Analysis'!$C$26)^(S$5-1)</x:f>
        <x:v>3209.4128781975764</x:v>
      </x:c>
      <x:c r="T7" s="32" t="n">
        <x:f>'Analysis'!$C$16*(1+'Analysis'!$C$26)^(T$5-1)</x:f>
        <x:v>3305.6952645435035</x:v>
      </x:c>
      <x:c r="U7" s="32" t="n">
        <x:f>'Analysis'!$C$16*(1+'Analysis'!$C$26)^(U$5-1)</x:f>
        <x:v>3404.8661224798093</x:v>
      </x:c>
      <x:c r="V7" s="32" t="n">
        <x:f>'Analysis'!$C$16*(1+'Analysis'!$C$26)^(V$5-1)</x:f>
        <x:v>3507.012106154203</x:v>
      </x:c>
      <x:c r="W7" s="32" t="n">
        <x:f>'Analysis'!$C$16*(1+'Analysis'!$C$26)^(W$5-1)</x:f>
        <x:v>3612.22246933883</x:v>
      </x:c>
      <x:c r="X7" s="32" t="n">
        <x:f>'Analysis'!$C$16*(1+'Analysis'!$C$26)^(X$5-1)</x:f>
        <x:v>3720.5891434189944</x:v>
      </x:c>
      <x:c r="Y7" s="32" t="n">
        <x:f>'Analysis'!$C$16*(1+'Analysis'!$C$26)^(Y$5-1)</x:f>
        <x:v>3832.2068177215647</x:v>
      </x:c>
      <x:c r="Z7" s="32" t="n">
        <x:f>'Analysis'!$C$16*(1+'Analysis'!$C$26)^(Z$5-1)</x:f>
        <x:v>3947.1730222532115</x:v>
      </x:c>
      <x:c r="AA7" s="32" t="n">
        <x:f>'Analysis'!$C$16*(1+'Analysis'!$C$26)^(AA$5-1)</x:f>
        <x:v>4065.588212920808</x:v>
      </x:c>
      <x:c r="AB7" s="32" t="n">
        <x:f>'Analysis'!$C$16*(1+'Analysis'!$C$26)^(AB$5-1)</x:f>
        <x:v>4187.555859308432</x:v>
      </x:c>
      <x:c r="AC7" s="32" t="n">
        <x:f>'Analysis'!$C$16*(1+'Analysis'!$C$26)^(AC$5-1)</x:f>
        <x:v>4313.182535087685</x:v>
      </x:c>
      <x:c r="AD7" s="32" t="n">
        <x:f>'Analysis'!$C$16*(1+'Analysis'!$C$26)^(AD$5-1)</x:f>
        <x:v>4442.578011140316</x:v>
      </x:c>
      <x:c r="AE7" s="32" t="n">
        <x:f>'Analysis'!$C$16*(1+'Analysis'!$C$26)^(AE$5-1)</x:f>
        <x:v>4575.855351474525</x:v>
      </x:c>
      <x:c r="AF7" s="32" t="n">
        <x:f>'Analysis'!$C$16*(1+'Analysis'!$C$26)^(AF$5-1)</x:f>
        <x:v>4713.131012018762</x:v>
      </x:c>
    </x:row>
    <x:row r="8" ht="22" customHeight="1">
      <x:c r="A8" s="2"/>
      <x:c r="B8" s="2" t="str">
        <x:v>Vacancy &amp; unpaid rent</x:v>
      </x:c>
      <x:c r="C8" s="32" t="n">
        <x:f>MIN(C7,IF('Analysis'!$D$17="% of rent",C7*'Analysis'!$C$17/100,'Analysis'!$C$17*(1+'Analysis'!$C$27)^(C$5-1)))</x:f>
        <x:v>100</x:v>
      </x:c>
      <x:c r="D8" s="32" t="n">
        <x:f>MIN(D7,IF('Analysis'!$D$17="% of rent",D7*'Analysis'!$C$17/100,'Analysis'!$C$17*(1+'Analysis'!$C$27)^(D$5-1)))</x:f>
        <x:v>103</x:v>
      </x:c>
      <x:c r="E8" s="32" t="n">
        <x:f>MIN(E7,IF('Analysis'!$D$17="% of rent",E7*'Analysis'!$C$17/100,'Analysis'!$C$17*(1+'Analysis'!$C$27)^(E$5-1)))</x:f>
        <x:v>106.08999999999997</x:v>
      </x:c>
      <x:c r="F8" s="32" t="n">
        <x:f>MIN(F7,IF('Analysis'!$D$17="% of rent",F7*'Analysis'!$C$17/100,'Analysis'!$C$17*(1+'Analysis'!$C$27)^(F$5-1)))</x:f>
        <x:v>109.2727</x:v>
      </x:c>
      <x:c r="G8" s="32" t="n">
        <x:f>MIN(G7,IF('Analysis'!$D$17="% of rent",G7*'Analysis'!$C$17/100,'Analysis'!$C$17*(1+'Analysis'!$C$27)^(G$5-1)))</x:f>
        <x:v>112.550881</x:v>
      </x:c>
      <x:c r="H8" s="32" t="n">
        <x:f>MIN(H7,IF('Analysis'!$D$17="% of rent",H7*'Analysis'!$C$17/100,'Analysis'!$C$17*(1+'Analysis'!$C$27)^(H$5-1)))</x:f>
        <x:v>115.92740743000002</x:v>
      </x:c>
      <x:c r="I8" s="32" t="n">
        <x:f>MIN(I7,IF('Analysis'!$D$17="% of rent",I7*'Analysis'!$C$17/100,'Analysis'!$C$17*(1+'Analysis'!$C$27)^(I$5-1)))</x:f>
        <x:v>119.40522965290002</x:v>
      </x:c>
      <x:c r="J8" s="32" t="n">
        <x:f>MIN(J7,IF('Analysis'!$D$17="% of rent",J7*'Analysis'!$C$17/100,'Analysis'!$C$17*(1+'Analysis'!$C$27)^(J$5-1)))</x:f>
        <x:v>122.98738654248702</x:v>
      </x:c>
      <x:c r="K8" s="32" t="n">
        <x:f>MIN(K7,IF('Analysis'!$D$17="% of rent",K7*'Analysis'!$C$17/100,'Analysis'!$C$17*(1+'Analysis'!$C$27)^(K$5-1)))</x:f>
        <x:v>126.67700813876164</x:v>
      </x:c>
      <x:c r="L8" s="32" t="n">
        <x:f>MIN(L7,IF('Analysis'!$D$17="% of rent",L7*'Analysis'!$C$17/100,'Analysis'!$C$17*(1+'Analysis'!$C$27)^(L$5-1)))</x:f>
        <x:v>130.4773183829245</x:v>
      </x:c>
      <x:c r="M8" s="32" t="n">
        <x:f>MIN(M7,IF('Analysis'!$D$17="% of rent",M7*'Analysis'!$C$17/100,'Analysis'!$C$17*(1+'Analysis'!$C$27)^(M$5-1)))</x:f>
        <x:v>134.39163793441222</x:v>
      </x:c>
      <x:c r="N8" s="32" t="n">
        <x:f>MIN(N7,IF('Analysis'!$D$17="% of rent",N7*'Analysis'!$C$17/100,'Analysis'!$C$17*(1+'Analysis'!$C$27)^(N$5-1)))</x:f>
        <x:v>138.4233870724446</x:v>
      </x:c>
      <x:c r="O8" s="32" t="n">
        <x:f>MIN(O7,IF('Analysis'!$D$17="% of rent",O7*'Analysis'!$C$17/100,'Analysis'!$C$17*(1+'Analysis'!$C$27)^(O$5-1)))</x:f>
        <x:v>142.57608868461793</x:v>
      </x:c>
      <x:c r="P8" s="32" t="n">
        <x:f>MIN(P7,IF('Analysis'!$D$17="% of rent",P7*'Analysis'!$C$17/100,'Analysis'!$C$17*(1+'Analysis'!$C$27)^(P$5-1)))</x:f>
        <x:v>146.8533713451565</x:v>
      </x:c>
      <x:c r="Q8" s="32" t="n">
        <x:f>MIN(Q7,IF('Analysis'!$D$17="% of rent",Q7*'Analysis'!$C$17/100,'Analysis'!$C$17*(1+'Analysis'!$C$27)^(Q$5-1)))</x:f>
        <x:v>151.25897248551118</x:v>
      </x:c>
      <x:c r="R8" s="32" t="n">
        <x:f>MIN(R7,IF('Analysis'!$D$17="% of rent",R7*'Analysis'!$C$17/100,'Analysis'!$C$17*(1+'Analysis'!$C$27)^(R$5-1)))</x:f>
        <x:v>155.79674166007652</x:v>
      </x:c>
      <x:c r="S8" s="32" t="n">
        <x:f>MIN(S7,IF('Analysis'!$D$17="% of rent",S7*'Analysis'!$C$17/100,'Analysis'!$C$17*(1+'Analysis'!$C$27)^(S$5-1)))</x:f>
        <x:v>160.47064390987882</x:v>
      </x:c>
      <x:c r="T8" s="32" t="n">
        <x:f>MIN(T7,IF('Analysis'!$D$17="% of rent",T7*'Analysis'!$C$17/100,'Analysis'!$C$17*(1+'Analysis'!$C$27)^(T$5-1)))</x:f>
        <x:v>165.28476322717518</x:v>
      </x:c>
      <x:c r="U8" s="32" t="n">
        <x:f>MIN(U7,IF('Analysis'!$D$17="% of rent",U7*'Analysis'!$C$17/100,'Analysis'!$C$17*(1+'Analysis'!$C$27)^(U$5-1)))</x:f>
        <x:v>170.24330612399046</x:v>
      </x:c>
      <x:c r="V8" s="32" t="n">
        <x:f>MIN(V7,IF('Analysis'!$D$17="% of rent",V7*'Analysis'!$C$17/100,'Analysis'!$C$17*(1+'Analysis'!$C$27)^(V$5-1)))</x:f>
        <x:v>175.35060530771014</x:v>
      </x:c>
      <x:c r="W8" s="32" t="n">
        <x:f>MIN(W7,IF('Analysis'!$D$17="% of rent",W7*'Analysis'!$C$17/100,'Analysis'!$C$17*(1+'Analysis'!$C$27)^(W$5-1)))</x:f>
        <x:v>180.6111234669415</x:v>
      </x:c>
      <x:c r="X8" s="32" t="n">
        <x:f>MIN(X7,IF('Analysis'!$D$17="% of rent",X7*'Analysis'!$C$17/100,'Analysis'!$C$17*(1+'Analysis'!$C$27)^(X$5-1)))</x:f>
        <x:v>186.0294571709497</x:v>
      </x:c>
      <x:c r="Y8" s="32" t="n">
        <x:f>MIN(Y7,IF('Analysis'!$D$17="% of rent",Y7*'Analysis'!$C$17/100,'Analysis'!$C$17*(1+'Analysis'!$C$27)^(Y$5-1)))</x:f>
        <x:v>191.61034088607823</x:v>
      </x:c>
      <x:c r="Z8" s="32" t="n">
        <x:f>MIN(Z7,IF('Analysis'!$D$17="% of rent",Z7*'Analysis'!$C$17/100,'Analysis'!$C$17*(1+'Analysis'!$C$27)^(Z$5-1)))</x:f>
        <x:v>197.3586511126606</x:v>
      </x:c>
      <x:c r="AA8" s="32" t="n">
        <x:f>MIN(AA7,IF('Analysis'!$D$17="% of rent",AA7*'Analysis'!$C$17/100,'Analysis'!$C$17*(1+'Analysis'!$C$27)^(AA$5-1)))</x:f>
        <x:v>203.27941064604042</x:v>
      </x:c>
      <x:c r="AB8" s="32" t="n">
        <x:f>MIN(AB7,IF('Analysis'!$D$17="% of rent",AB7*'Analysis'!$C$17/100,'Analysis'!$C$17*(1+'Analysis'!$C$27)^(AB$5-1)))</x:f>
        <x:v>209.3777929654216</x:v>
      </x:c>
      <x:c r="AC8" s="32" t="n">
        <x:f>MIN(AC7,IF('Analysis'!$D$17="% of rent",AC7*'Analysis'!$C$17/100,'Analysis'!$C$17*(1+'Analysis'!$C$27)^(AC$5-1)))</x:f>
        <x:v>215.65912675438426</x:v>
      </x:c>
      <x:c r="AD8" s="32" t="n">
        <x:f>MIN(AD7,IF('Analysis'!$D$17="% of rent",AD7*'Analysis'!$C$17/100,'Analysis'!$C$17*(1+'Analysis'!$C$27)^(AD$5-1)))</x:f>
        <x:v>222.1289005570158</x:v>
      </x:c>
      <x:c r="AE8" s="32" t="n">
        <x:f>MIN(AE7,IF('Analysis'!$D$17="% of rent",AE7*'Analysis'!$C$17/100,'Analysis'!$C$17*(1+'Analysis'!$C$27)^(AE$5-1)))</x:f>
        <x:v>228.79276757372628</x:v>
      </x:c>
      <x:c r="AF8" s="32" t="n">
        <x:f>MIN(AF7,IF('Analysis'!$D$17="% of rent",AF7*'Analysis'!$C$17/100,'Analysis'!$C$17*(1+'Analysis'!$C$27)^(AF$5-1)))</x:f>
        <x:v>235.6565506009381</x:v>
      </x:c>
    </x:row>
    <x:row r="9" ht="22" customHeight="1">
      <x:c r="A9" s="2"/>
      <x:c r="B9" s="2" t="str">
        <x:v>Property management</x:v>
      </x:c>
      <x:c r="C9" s="32" t="n">
        <x:f>IF('Analysis'!$D$18="% of rent",C7*'Analysis'!$C$18/100,'Analysis'!$C$18*(1+'Analysis'!$C$27)^(C$5-1))</x:f>
        <x:v>200</x:v>
      </x:c>
      <x:c r="D9" s="32" t="n">
        <x:f>IF('Analysis'!$D$18="% of rent",D7*'Analysis'!$C$18/100,'Analysis'!$C$18*(1+'Analysis'!$C$27)^(D$5-1))</x:f>
        <x:v>206</x:v>
      </x:c>
      <x:c r="E9" s="32" t="n">
        <x:f>IF('Analysis'!$D$18="% of rent",E7*'Analysis'!$C$18/100,'Analysis'!$C$18*(1+'Analysis'!$C$27)^(E$5-1))</x:f>
        <x:v>212.17999999999995</x:v>
      </x:c>
      <x:c r="F9" s="32" t="n">
        <x:f>IF('Analysis'!$D$18="% of rent",F7*'Analysis'!$C$18/100,'Analysis'!$C$18*(1+'Analysis'!$C$27)^(F$5-1))</x:f>
        <x:v>218.5454</x:v>
      </x:c>
      <x:c r="G9" s="32" t="n">
        <x:f>IF('Analysis'!$D$18="% of rent",G7*'Analysis'!$C$18/100,'Analysis'!$C$18*(1+'Analysis'!$C$27)^(G$5-1))</x:f>
        <x:v>225.101762</x:v>
      </x:c>
      <x:c r="H9" s="32" t="n">
        <x:f>IF('Analysis'!$D$18="% of rent",H7*'Analysis'!$C$18/100,'Analysis'!$C$18*(1+'Analysis'!$C$27)^(H$5-1))</x:f>
        <x:v>231.85481486000003</x:v>
      </x:c>
      <x:c r="I9" s="32" t="n">
        <x:f>IF('Analysis'!$D$18="% of rent",I7*'Analysis'!$C$18/100,'Analysis'!$C$18*(1+'Analysis'!$C$27)^(I$5-1))</x:f>
        <x:v>238.81045930580004</x:v>
      </x:c>
      <x:c r="J9" s="32" t="n">
        <x:f>IF('Analysis'!$D$18="% of rent",J7*'Analysis'!$C$18/100,'Analysis'!$C$18*(1+'Analysis'!$C$27)^(J$5-1))</x:f>
        <x:v>245.97477308497403</x:v>
      </x:c>
      <x:c r="K9" s="32" t="n">
        <x:f>IF('Analysis'!$D$18="% of rent",K7*'Analysis'!$C$18/100,'Analysis'!$C$18*(1+'Analysis'!$C$27)^(K$5-1))</x:f>
        <x:v>253.35401627752327</x:v>
      </x:c>
      <x:c r="L9" s="32" t="n">
        <x:f>IF('Analysis'!$D$18="% of rent",L7*'Analysis'!$C$18/100,'Analysis'!$C$18*(1+'Analysis'!$C$27)^(L$5-1))</x:f>
        <x:v>260.954636765849</x:v>
      </x:c>
      <x:c r="M9" s="32" t="n">
        <x:f>IF('Analysis'!$D$18="% of rent",M7*'Analysis'!$C$18/100,'Analysis'!$C$18*(1+'Analysis'!$C$27)^(M$5-1))</x:f>
        <x:v>268.78327586882443</x:v>
      </x:c>
      <x:c r="N9" s="32" t="n">
        <x:f>IF('Analysis'!$D$18="% of rent",N7*'Analysis'!$C$18/100,'Analysis'!$C$18*(1+'Analysis'!$C$27)^(N$5-1))</x:f>
        <x:v>276.8467741448892</x:v>
      </x:c>
      <x:c r="O9" s="32" t="n">
        <x:f>IF('Analysis'!$D$18="% of rent",O7*'Analysis'!$C$18/100,'Analysis'!$C$18*(1+'Analysis'!$C$27)^(O$5-1))</x:f>
        <x:v>285.15217736923586</x:v>
      </x:c>
      <x:c r="P9" s="32" t="n">
        <x:f>IF('Analysis'!$D$18="% of rent",P7*'Analysis'!$C$18/100,'Analysis'!$C$18*(1+'Analysis'!$C$27)^(P$5-1))</x:f>
        <x:v>293.706742690313</x:v>
      </x:c>
      <x:c r="Q9" s="32" t="n">
        <x:f>IF('Analysis'!$D$18="% of rent",Q7*'Analysis'!$C$18/100,'Analysis'!$C$18*(1+'Analysis'!$C$27)^(Q$5-1))</x:f>
        <x:v>302.51794497102236</x:v>
      </x:c>
      <x:c r="R9" s="32" t="n">
        <x:f>IF('Analysis'!$D$18="% of rent",R7*'Analysis'!$C$18/100,'Analysis'!$C$18*(1+'Analysis'!$C$27)^(R$5-1))</x:f>
        <x:v>311.59348332015304</x:v>
      </x:c>
      <x:c r="S9" s="32" t="n">
        <x:f>IF('Analysis'!$D$18="% of rent",S7*'Analysis'!$C$18/100,'Analysis'!$C$18*(1+'Analysis'!$C$27)^(S$5-1))</x:f>
        <x:v>320.94128781975763</x:v>
      </x:c>
      <x:c r="T9" s="32" t="n">
        <x:f>IF('Analysis'!$D$18="% of rent",T7*'Analysis'!$C$18/100,'Analysis'!$C$18*(1+'Analysis'!$C$27)^(T$5-1))</x:f>
        <x:v>330.56952645435035</x:v>
      </x:c>
      <x:c r="U9" s="32" t="n">
        <x:f>IF('Analysis'!$D$18="% of rent",U7*'Analysis'!$C$18/100,'Analysis'!$C$18*(1+'Analysis'!$C$27)^(U$5-1))</x:f>
        <x:v>340.48661224798093</x:v>
      </x:c>
      <x:c r="V9" s="32" t="n">
        <x:f>IF('Analysis'!$D$18="% of rent",V7*'Analysis'!$C$18/100,'Analysis'!$C$18*(1+'Analysis'!$C$27)^(V$5-1))</x:f>
        <x:v>350.7012106154203</x:v>
      </x:c>
      <x:c r="W9" s="32" t="n">
        <x:f>IF('Analysis'!$D$18="% of rent",W7*'Analysis'!$C$18/100,'Analysis'!$C$18*(1+'Analysis'!$C$27)^(W$5-1))</x:f>
        <x:v>361.222246933883</x:v>
      </x:c>
      <x:c r="X9" s="32" t="n">
        <x:f>IF('Analysis'!$D$18="% of rent",X7*'Analysis'!$C$18/100,'Analysis'!$C$18*(1+'Analysis'!$C$27)^(X$5-1))</x:f>
        <x:v>372.0589143418994</x:v>
      </x:c>
      <x:c r="Y9" s="32" t="n">
        <x:f>IF('Analysis'!$D$18="% of rent",Y7*'Analysis'!$C$18/100,'Analysis'!$C$18*(1+'Analysis'!$C$27)^(Y$5-1))</x:f>
        <x:v>383.22068177215647</x:v>
      </x:c>
      <x:c r="Z9" s="32" t="n">
        <x:f>IF('Analysis'!$D$18="% of rent",Z7*'Analysis'!$C$18/100,'Analysis'!$C$18*(1+'Analysis'!$C$27)^(Z$5-1))</x:f>
        <x:v>394.7173022253212</x:v>
      </x:c>
      <x:c r="AA9" s="32" t="n">
        <x:f>IF('Analysis'!$D$18="% of rent",AA7*'Analysis'!$C$18/100,'Analysis'!$C$18*(1+'Analysis'!$C$27)^(AA$5-1))</x:f>
        <x:v>406.55882129208084</x:v>
      </x:c>
      <x:c r="AB9" s="32" t="n">
        <x:f>IF('Analysis'!$D$18="% of rent",AB7*'Analysis'!$C$18/100,'Analysis'!$C$18*(1+'Analysis'!$C$27)^(AB$5-1))</x:f>
        <x:v>418.7555859308432</x:v>
      </x:c>
      <x:c r="AC9" s="32" t="n">
        <x:f>IF('Analysis'!$D$18="% of rent",AC7*'Analysis'!$C$18/100,'Analysis'!$C$18*(1+'Analysis'!$C$27)^(AC$5-1))</x:f>
        <x:v>431.3182535087685</x:v>
      </x:c>
      <x:c r="AD9" s="32" t="n">
        <x:f>IF('Analysis'!$D$18="% of rent",AD7*'Analysis'!$C$18/100,'Analysis'!$C$18*(1+'Analysis'!$C$27)^(AD$5-1))</x:f>
        <x:v>444.2578011140316</x:v>
      </x:c>
      <x:c r="AE9" s="32" t="n">
        <x:f>IF('Analysis'!$D$18="% of rent",AE7*'Analysis'!$C$18/100,'Analysis'!$C$18*(1+'Analysis'!$C$27)^(AE$5-1))</x:f>
        <x:v>457.58553514745256</x:v>
      </x:c>
      <x:c r="AF9" s="32" t="n">
        <x:f>IF('Analysis'!$D$18="% of rent",AF7*'Analysis'!$C$18/100,'Analysis'!$C$18*(1+'Analysis'!$C$27)^(AF$5-1))</x:f>
        <x:v>471.3131012018762</x:v>
      </x:c>
    </x:row>
    <x:row r="10" ht="22" customHeight="1">
      <x:c r="A10" s="2"/>
      <x:c r="B10" s="2" t="str">
        <x:v>Maintenance reserve</x:v>
      </x:c>
      <x:c r="C10" s="32" t="n">
        <x:f>IF('Analysis'!$D$19="% of rent",C7*'Analysis'!$C$19/100,'Analysis'!$C$19*(1+'Analysis'!$C$27)^(C$5-1))</x:f>
        <x:v>200</x:v>
      </x:c>
      <x:c r="D10" s="32" t="n">
        <x:f>IF('Analysis'!$D$19="% of rent",D7*'Analysis'!$C$19/100,'Analysis'!$C$19*(1+'Analysis'!$C$27)^(D$5-1))</x:f>
        <x:v>206</x:v>
      </x:c>
      <x:c r="E10" s="32" t="n">
        <x:f>IF('Analysis'!$D$19="% of rent",E7*'Analysis'!$C$19/100,'Analysis'!$C$19*(1+'Analysis'!$C$27)^(E$5-1))</x:f>
        <x:v>212.17999999999995</x:v>
      </x:c>
      <x:c r="F10" s="32" t="n">
        <x:f>IF('Analysis'!$D$19="% of rent",F7*'Analysis'!$C$19/100,'Analysis'!$C$19*(1+'Analysis'!$C$27)^(F$5-1))</x:f>
        <x:v>218.5454</x:v>
      </x:c>
      <x:c r="G10" s="32" t="n">
        <x:f>IF('Analysis'!$D$19="% of rent",G7*'Analysis'!$C$19/100,'Analysis'!$C$19*(1+'Analysis'!$C$27)^(G$5-1))</x:f>
        <x:v>225.101762</x:v>
      </x:c>
      <x:c r="H10" s="32" t="n">
        <x:f>IF('Analysis'!$D$19="% of rent",H7*'Analysis'!$C$19/100,'Analysis'!$C$19*(1+'Analysis'!$C$27)^(H$5-1))</x:f>
        <x:v>231.85481486000003</x:v>
      </x:c>
      <x:c r="I10" s="32" t="n">
        <x:f>IF('Analysis'!$D$19="% of rent",I7*'Analysis'!$C$19/100,'Analysis'!$C$19*(1+'Analysis'!$C$27)^(I$5-1))</x:f>
        <x:v>238.81045930580004</x:v>
      </x:c>
      <x:c r="J10" s="32" t="n">
        <x:f>IF('Analysis'!$D$19="% of rent",J7*'Analysis'!$C$19/100,'Analysis'!$C$19*(1+'Analysis'!$C$27)^(J$5-1))</x:f>
        <x:v>245.97477308497403</x:v>
      </x:c>
      <x:c r="K10" s="32" t="n">
        <x:f>IF('Analysis'!$D$19="% of rent",K7*'Analysis'!$C$19/100,'Analysis'!$C$19*(1+'Analysis'!$C$27)^(K$5-1))</x:f>
        <x:v>253.35401627752327</x:v>
      </x:c>
      <x:c r="L10" s="32" t="n">
        <x:f>IF('Analysis'!$D$19="% of rent",L7*'Analysis'!$C$19/100,'Analysis'!$C$19*(1+'Analysis'!$C$27)^(L$5-1))</x:f>
        <x:v>260.954636765849</x:v>
      </x:c>
      <x:c r="M10" s="32" t="n">
        <x:f>IF('Analysis'!$D$19="% of rent",M7*'Analysis'!$C$19/100,'Analysis'!$C$19*(1+'Analysis'!$C$27)^(M$5-1))</x:f>
        <x:v>268.78327586882443</x:v>
      </x:c>
      <x:c r="N10" s="32" t="n">
        <x:f>IF('Analysis'!$D$19="% of rent",N7*'Analysis'!$C$19/100,'Analysis'!$C$19*(1+'Analysis'!$C$27)^(N$5-1))</x:f>
        <x:v>276.8467741448892</x:v>
      </x:c>
      <x:c r="O10" s="32" t="n">
        <x:f>IF('Analysis'!$D$19="% of rent",O7*'Analysis'!$C$19/100,'Analysis'!$C$19*(1+'Analysis'!$C$27)^(O$5-1))</x:f>
        <x:v>285.15217736923586</x:v>
      </x:c>
      <x:c r="P10" s="32" t="n">
        <x:f>IF('Analysis'!$D$19="% of rent",P7*'Analysis'!$C$19/100,'Analysis'!$C$19*(1+'Analysis'!$C$27)^(P$5-1))</x:f>
        <x:v>293.706742690313</x:v>
      </x:c>
      <x:c r="Q10" s="32" t="n">
        <x:f>IF('Analysis'!$D$19="% of rent",Q7*'Analysis'!$C$19/100,'Analysis'!$C$19*(1+'Analysis'!$C$27)^(Q$5-1))</x:f>
        <x:v>302.51794497102236</x:v>
      </x:c>
      <x:c r="R10" s="32" t="n">
        <x:f>IF('Analysis'!$D$19="% of rent",R7*'Analysis'!$C$19/100,'Analysis'!$C$19*(1+'Analysis'!$C$27)^(R$5-1))</x:f>
        <x:v>311.59348332015304</x:v>
      </x:c>
      <x:c r="S10" s="32" t="n">
        <x:f>IF('Analysis'!$D$19="% of rent",S7*'Analysis'!$C$19/100,'Analysis'!$C$19*(1+'Analysis'!$C$27)^(S$5-1))</x:f>
        <x:v>320.94128781975763</x:v>
      </x:c>
      <x:c r="T10" s="32" t="n">
        <x:f>IF('Analysis'!$D$19="% of rent",T7*'Analysis'!$C$19/100,'Analysis'!$C$19*(1+'Analysis'!$C$27)^(T$5-1))</x:f>
        <x:v>330.56952645435035</x:v>
      </x:c>
      <x:c r="U10" s="32" t="n">
        <x:f>IF('Analysis'!$D$19="% of rent",U7*'Analysis'!$C$19/100,'Analysis'!$C$19*(1+'Analysis'!$C$27)^(U$5-1))</x:f>
        <x:v>340.48661224798093</x:v>
      </x:c>
      <x:c r="V10" s="32" t="n">
        <x:f>IF('Analysis'!$D$19="% of rent",V7*'Analysis'!$C$19/100,'Analysis'!$C$19*(1+'Analysis'!$C$27)^(V$5-1))</x:f>
        <x:v>350.7012106154203</x:v>
      </x:c>
      <x:c r="W10" s="32" t="n">
        <x:f>IF('Analysis'!$D$19="% of rent",W7*'Analysis'!$C$19/100,'Analysis'!$C$19*(1+'Analysis'!$C$27)^(W$5-1))</x:f>
        <x:v>361.222246933883</x:v>
      </x:c>
      <x:c r="X10" s="32" t="n">
        <x:f>IF('Analysis'!$D$19="% of rent",X7*'Analysis'!$C$19/100,'Analysis'!$C$19*(1+'Analysis'!$C$27)^(X$5-1))</x:f>
        <x:v>372.0589143418994</x:v>
      </x:c>
      <x:c r="Y10" s="32" t="n">
        <x:f>IF('Analysis'!$D$19="% of rent",Y7*'Analysis'!$C$19/100,'Analysis'!$C$19*(1+'Analysis'!$C$27)^(Y$5-1))</x:f>
        <x:v>383.22068177215647</x:v>
      </x:c>
      <x:c r="Z10" s="32" t="n">
        <x:f>IF('Analysis'!$D$19="% of rent",Z7*'Analysis'!$C$19/100,'Analysis'!$C$19*(1+'Analysis'!$C$27)^(Z$5-1))</x:f>
        <x:v>394.7173022253212</x:v>
      </x:c>
      <x:c r="AA10" s="32" t="n">
        <x:f>IF('Analysis'!$D$19="% of rent",AA7*'Analysis'!$C$19/100,'Analysis'!$C$19*(1+'Analysis'!$C$27)^(AA$5-1))</x:f>
        <x:v>406.55882129208084</x:v>
      </x:c>
      <x:c r="AB10" s="32" t="n">
        <x:f>IF('Analysis'!$D$19="% of rent",AB7*'Analysis'!$C$19/100,'Analysis'!$C$19*(1+'Analysis'!$C$27)^(AB$5-1))</x:f>
        <x:v>418.7555859308432</x:v>
      </x:c>
      <x:c r="AC10" s="32" t="n">
        <x:f>IF('Analysis'!$D$19="% of rent",AC7*'Analysis'!$C$19/100,'Analysis'!$C$19*(1+'Analysis'!$C$27)^(AC$5-1))</x:f>
        <x:v>431.3182535087685</x:v>
      </x:c>
      <x:c r="AD10" s="32" t="n">
        <x:f>IF('Analysis'!$D$19="% of rent",AD7*'Analysis'!$C$19/100,'Analysis'!$C$19*(1+'Analysis'!$C$27)^(AD$5-1))</x:f>
        <x:v>444.2578011140316</x:v>
      </x:c>
      <x:c r="AE10" s="32" t="n">
        <x:f>IF('Analysis'!$D$19="% of rent",AE7*'Analysis'!$C$19/100,'Analysis'!$C$19*(1+'Analysis'!$C$27)^(AE$5-1))</x:f>
        <x:v>457.58553514745256</x:v>
      </x:c>
      <x:c r="AF10" s="32" t="n">
        <x:f>IF('Analysis'!$D$19="% of rent",AF7*'Analysis'!$C$19/100,'Analysis'!$C$19*(1+'Analysis'!$C$27)^(AF$5-1))</x:f>
        <x:v>471.3131012018762</x:v>
      </x:c>
    </x:row>
    <x:row r="11" ht="22" customHeight="1">
      <x:c r="A11" s="2"/>
      <x:c r="B11" s="2" t="str">
        <x:v>Major replacement reserve</x:v>
      </x:c>
      <x:c r="C11" s="32" t="n">
        <x:f>IF('Analysis'!$D$20="% of rent",C7*'Analysis'!$C$20/100,'Analysis'!$C$20*(1+'Analysis'!$C$27)^(C$5-1))</x:f>
        <x:v>200</x:v>
      </x:c>
      <x:c r="D11" s="32" t="n">
        <x:f>IF('Analysis'!$D$20="% of rent",D7*'Analysis'!$C$20/100,'Analysis'!$C$20*(1+'Analysis'!$C$27)^(D$5-1))</x:f>
        <x:v>206</x:v>
      </x:c>
      <x:c r="E11" s="32" t="n">
        <x:f>IF('Analysis'!$D$20="% of rent",E7*'Analysis'!$C$20/100,'Analysis'!$C$20*(1+'Analysis'!$C$27)^(E$5-1))</x:f>
        <x:v>212.17999999999995</x:v>
      </x:c>
      <x:c r="F11" s="32" t="n">
        <x:f>IF('Analysis'!$D$20="% of rent",F7*'Analysis'!$C$20/100,'Analysis'!$C$20*(1+'Analysis'!$C$27)^(F$5-1))</x:f>
        <x:v>218.5454</x:v>
      </x:c>
      <x:c r="G11" s="32" t="n">
        <x:f>IF('Analysis'!$D$20="% of rent",G7*'Analysis'!$C$20/100,'Analysis'!$C$20*(1+'Analysis'!$C$27)^(G$5-1))</x:f>
        <x:v>225.101762</x:v>
      </x:c>
      <x:c r="H11" s="32" t="n">
        <x:f>IF('Analysis'!$D$20="% of rent",H7*'Analysis'!$C$20/100,'Analysis'!$C$20*(1+'Analysis'!$C$27)^(H$5-1))</x:f>
        <x:v>231.85481486000003</x:v>
      </x:c>
      <x:c r="I11" s="32" t="n">
        <x:f>IF('Analysis'!$D$20="% of rent",I7*'Analysis'!$C$20/100,'Analysis'!$C$20*(1+'Analysis'!$C$27)^(I$5-1))</x:f>
        <x:v>238.81045930580004</x:v>
      </x:c>
      <x:c r="J11" s="32" t="n">
        <x:f>IF('Analysis'!$D$20="% of rent",J7*'Analysis'!$C$20/100,'Analysis'!$C$20*(1+'Analysis'!$C$27)^(J$5-1))</x:f>
        <x:v>245.97477308497403</x:v>
      </x:c>
      <x:c r="K11" s="32" t="n">
        <x:f>IF('Analysis'!$D$20="% of rent",K7*'Analysis'!$C$20/100,'Analysis'!$C$20*(1+'Analysis'!$C$27)^(K$5-1))</x:f>
        <x:v>253.35401627752327</x:v>
      </x:c>
      <x:c r="L11" s="32" t="n">
        <x:f>IF('Analysis'!$D$20="% of rent",L7*'Analysis'!$C$20/100,'Analysis'!$C$20*(1+'Analysis'!$C$27)^(L$5-1))</x:f>
        <x:v>260.954636765849</x:v>
      </x:c>
      <x:c r="M11" s="32" t="n">
        <x:f>IF('Analysis'!$D$20="% of rent",M7*'Analysis'!$C$20/100,'Analysis'!$C$20*(1+'Analysis'!$C$27)^(M$5-1))</x:f>
        <x:v>268.78327586882443</x:v>
      </x:c>
      <x:c r="N11" s="32" t="n">
        <x:f>IF('Analysis'!$D$20="% of rent",N7*'Analysis'!$C$20/100,'Analysis'!$C$20*(1+'Analysis'!$C$27)^(N$5-1))</x:f>
        <x:v>276.8467741448892</x:v>
      </x:c>
      <x:c r="O11" s="32" t="n">
        <x:f>IF('Analysis'!$D$20="% of rent",O7*'Analysis'!$C$20/100,'Analysis'!$C$20*(1+'Analysis'!$C$27)^(O$5-1))</x:f>
        <x:v>285.15217736923586</x:v>
      </x:c>
      <x:c r="P11" s="32" t="n">
        <x:f>IF('Analysis'!$D$20="% of rent",P7*'Analysis'!$C$20/100,'Analysis'!$C$20*(1+'Analysis'!$C$27)^(P$5-1))</x:f>
        <x:v>293.706742690313</x:v>
      </x:c>
      <x:c r="Q11" s="32" t="n">
        <x:f>IF('Analysis'!$D$20="% of rent",Q7*'Analysis'!$C$20/100,'Analysis'!$C$20*(1+'Analysis'!$C$27)^(Q$5-1))</x:f>
        <x:v>302.51794497102236</x:v>
      </x:c>
      <x:c r="R11" s="32" t="n">
        <x:f>IF('Analysis'!$D$20="% of rent",R7*'Analysis'!$C$20/100,'Analysis'!$C$20*(1+'Analysis'!$C$27)^(R$5-1))</x:f>
        <x:v>311.59348332015304</x:v>
      </x:c>
      <x:c r="S11" s="32" t="n">
        <x:f>IF('Analysis'!$D$20="% of rent",S7*'Analysis'!$C$20/100,'Analysis'!$C$20*(1+'Analysis'!$C$27)^(S$5-1))</x:f>
        <x:v>320.94128781975763</x:v>
      </x:c>
      <x:c r="T11" s="32" t="n">
        <x:f>IF('Analysis'!$D$20="% of rent",T7*'Analysis'!$C$20/100,'Analysis'!$C$20*(1+'Analysis'!$C$27)^(T$5-1))</x:f>
        <x:v>330.56952645435035</x:v>
      </x:c>
      <x:c r="U11" s="32" t="n">
        <x:f>IF('Analysis'!$D$20="% of rent",U7*'Analysis'!$C$20/100,'Analysis'!$C$20*(1+'Analysis'!$C$27)^(U$5-1))</x:f>
        <x:v>340.48661224798093</x:v>
      </x:c>
      <x:c r="V11" s="32" t="n">
        <x:f>IF('Analysis'!$D$20="% of rent",V7*'Analysis'!$C$20/100,'Analysis'!$C$20*(1+'Analysis'!$C$27)^(V$5-1))</x:f>
        <x:v>350.7012106154203</x:v>
      </x:c>
      <x:c r="W11" s="32" t="n">
        <x:f>IF('Analysis'!$D$20="% of rent",W7*'Analysis'!$C$20/100,'Analysis'!$C$20*(1+'Analysis'!$C$27)^(W$5-1))</x:f>
        <x:v>361.222246933883</x:v>
      </x:c>
      <x:c r="X11" s="32" t="n">
        <x:f>IF('Analysis'!$D$20="% of rent",X7*'Analysis'!$C$20/100,'Analysis'!$C$20*(1+'Analysis'!$C$27)^(X$5-1))</x:f>
        <x:v>372.0589143418994</x:v>
      </x:c>
      <x:c r="Y11" s="32" t="n">
        <x:f>IF('Analysis'!$D$20="% of rent",Y7*'Analysis'!$C$20/100,'Analysis'!$C$20*(1+'Analysis'!$C$27)^(Y$5-1))</x:f>
        <x:v>383.22068177215647</x:v>
      </x:c>
      <x:c r="Z11" s="32" t="n">
        <x:f>IF('Analysis'!$D$20="% of rent",Z7*'Analysis'!$C$20/100,'Analysis'!$C$20*(1+'Analysis'!$C$27)^(Z$5-1))</x:f>
        <x:v>394.7173022253212</x:v>
      </x:c>
      <x:c r="AA11" s="32" t="n">
        <x:f>IF('Analysis'!$D$20="% of rent",AA7*'Analysis'!$C$20/100,'Analysis'!$C$20*(1+'Analysis'!$C$27)^(AA$5-1))</x:f>
        <x:v>406.55882129208084</x:v>
      </x:c>
      <x:c r="AB11" s="32" t="n">
        <x:f>IF('Analysis'!$D$20="% of rent",AB7*'Analysis'!$C$20/100,'Analysis'!$C$20*(1+'Analysis'!$C$27)^(AB$5-1))</x:f>
        <x:v>418.7555859308432</x:v>
      </x:c>
      <x:c r="AC11" s="32" t="n">
        <x:f>IF('Analysis'!$D$20="% of rent",AC7*'Analysis'!$C$20/100,'Analysis'!$C$20*(1+'Analysis'!$C$27)^(AC$5-1))</x:f>
        <x:v>431.3182535087685</x:v>
      </x:c>
      <x:c r="AD11" s="32" t="n">
        <x:f>IF('Analysis'!$D$20="% of rent",AD7*'Analysis'!$C$20/100,'Analysis'!$C$20*(1+'Analysis'!$C$27)^(AD$5-1))</x:f>
        <x:v>444.2578011140316</x:v>
      </x:c>
      <x:c r="AE11" s="32" t="n">
        <x:f>IF('Analysis'!$D$20="% of rent",AE7*'Analysis'!$C$20/100,'Analysis'!$C$20*(1+'Analysis'!$C$27)^(AE$5-1))</x:f>
        <x:v>457.58553514745256</x:v>
      </x:c>
      <x:c r="AF11" s="32" t="n">
        <x:f>IF('Analysis'!$D$20="% of rent",AF7*'Analysis'!$C$20/100,'Analysis'!$C$20*(1+'Analysis'!$C$27)^(AF$5-1))</x:f>
        <x:v>471.3131012018762</x:v>
      </x:c>
    </x:row>
    <x:row r="12" ht="22" customHeight="1">
      <x:c r="A12" s="2"/>
      <x:c r="B12" s="2" t="str">
        <x:v>Insurance</x:v>
      </x:c>
      <x:c r="C12" s="32" t="n">
        <x:f>IF('Analysis'!$D$21="% of price",'Analysis'!$C$8*'Analysis'!$C$21/100,'Analysis'!$C$21)/12*(1+'Analysis'!$C$27)^(C$5-1)</x:f>
        <x:v>100</x:v>
      </x:c>
      <x:c r="D12" s="32" t="n">
        <x:f>IF('Analysis'!$D$21="% of price",'Analysis'!$C$8*'Analysis'!$C$21/100,'Analysis'!$C$21)/12*(1+'Analysis'!$C$27)^(D$5-1)</x:f>
        <x:v>103</x:v>
      </x:c>
      <x:c r="E12" s="32" t="n">
        <x:f>IF('Analysis'!$D$21="% of price",'Analysis'!$C$8*'Analysis'!$C$21/100,'Analysis'!$C$21)/12*(1+'Analysis'!$C$27)^(E$5-1)</x:f>
        <x:v>106.08999999999999</x:v>
      </x:c>
      <x:c r="F12" s="32" t="n">
        <x:f>IF('Analysis'!$D$21="% of price",'Analysis'!$C$8*'Analysis'!$C$21/100,'Analysis'!$C$21)/12*(1+'Analysis'!$C$27)^(F$5-1)</x:f>
        <x:v>109.2727</x:v>
      </x:c>
      <x:c r="G12" s="32" t="n">
        <x:f>IF('Analysis'!$D$21="% of price",'Analysis'!$C$8*'Analysis'!$C$21/100,'Analysis'!$C$21)/12*(1+'Analysis'!$C$27)^(G$5-1)</x:f>
        <x:v>112.55088100000002</x:v>
      </x:c>
      <x:c r="H12" s="32" t="n">
        <x:f>IF('Analysis'!$D$21="% of price",'Analysis'!$C$8*'Analysis'!$C$21/100,'Analysis'!$C$21)/12*(1+'Analysis'!$C$27)^(H$5-1)</x:f>
        <x:v>115.92740743</x:v>
      </x:c>
      <x:c r="I12" s="32" t="n">
        <x:f>IF('Analysis'!$D$21="% of price",'Analysis'!$C$8*'Analysis'!$C$21/100,'Analysis'!$C$21)/12*(1+'Analysis'!$C$27)^(I$5-1)</x:f>
        <x:v>119.40522965290002</x:v>
      </x:c>
      <x:c r="J12" s="32" t="n">
        <x:f>IF('Analysis'!$D$21="% of price",'Analysis'!$C$8*'Analysis'!$C$21/100,'Analysis'!$C$21)/12*(1+'Analysis'!$C$27)^(J$5-1)</x:f>
        <x:v>122.98738654248702</x:v>
      </x:c>
      <x:c r="K12" s="32" t="n">
        <x:f>IF('Analysis'!$D$21="% of price",'Analysis'!$C$8*'Analysis'!$C$21/100,'Analysis'!$C$21)/12*(1+'Analysis'!$C$27)^(K$5-1)</x:f>
        <x:v>126.67700813876164</x:v>
      </x:c>
      <x:c r="L12" s="32" t="n">
        <x:f>IF('Analysis'!$D$21="% of price",'Analysis'!$C$8*'Analysis'!$C$21/100,'Analysis'!$C$21)/12*(1+'Analysis'!$C$27)^(L$5-1)</x:f>
        <x:v>130.4773183829245</x:v>
      </x:c>
      <x:c r="M12" s="32" t="n">
        <x:f>IF('Analysis'!$D$21="% of price",'Analysis'!$C$8*'Analysis'!$C$21/100,'Analysis'!$C$21)/12*(1+'Analysis'!$C$27)^(M$5-1)</x:f>
        <x:v>134.39163793441222</x:v>
      </x:c>
      <x:c r="N12" s="32" t="n">
        <x:f>IF('Analysis'!$D$21="% of price",'Analysis'!$C$8*'Analysis'!$C$21/100,'Analysis'!$C$21)/12*(1+'Analysis'!$C$27)^(N$5-1)</x:f>
        <x:v>138.4233870724446</x:v>
      </x:c>
      <x:c r="O12" s="32" t="n">
        <x:f>IF('Analysis'!$D$21="% of price",'Analysis'!$C$8*'Analysis'!$C$21/100,'Analysis'!$C$21)/12*(1+'Analysis'!$C$27)^(O$5-1)</x:f>
        <x:v>142.57608868461793</x:v>
      </x:c>
      <x:c r="P12" s="32" t="n">
        <x:f>IF('Analysis'!$D$21="% of price",'Analysis'!$C$8*'Analysis'!$C$21/100,'Analysis'!$C$21)/12*(1+'Analysis'!$C$27)^(P$5-1)</x:f>
        <x:v>146.8533713451565</x:v>
      </x:c>
      <x:c r="Q12" s="32" t="n">
        <x:f>IF('Analysis'!$D$21="% of price",'Analysis'!$C$8*'Analysis'!$C$21/100,'Analysis'!$C$21)/12*(1+'Analysis'!$C$27)^(Q$5-1)</x:f>
        <x:v>151.25897248551118</x:v>
      </x:c>
      <x:c r="R12" s="32" t="n">
        <x:f>IF('Analysis'!$D$21="% of price",'Analysis'!$C$8*'Analysis'!$C$21/100,'Analysis'!$C$21)/12*(1+'Analysis'!$C$27)^(R$5-1)</x:f>
        <x:v>155.79674166007652</x:v>
      </x:c>
      <x:c r="S12" s="32" t="n">
        <x:f>IF('Analysis'!$D$21="% of price",'Analysis'!$C$8*'Analysis'!$C$21/100,'Analysis'!$C$21)/12*(1+'Analysis'!$C$27)^(S$5-1)</x:f>
        <x:v>160.47064390987882</x:v>
      </x:c>
      <x:c r="T12" s="32" t="n">
        <x:f>IF('Analysis'!$D$21="% of price",'Analysis'!$C$8*'Analysis'!$C$21/100,'Analysis'!$C$21)/12*(1+'Analysis'!$C$27)^(T$5-1)</x:f>
        <x:v>165.28476322717518</x:v>
      </x:c>
      <x:c r="U12" s="32" t="n">
        <x:f>IF('Analysis'!$D$21="% of price",'Analysis'!$C$8*'Analysis'!$C$21/100,'Analysis'!$C$21)/12*(1+'Analysis'!$C$27)^(U$5-1)</x:f>
        <x:v>170.24330612399046</x:v>
      </x:c>
      <x:c r="V12" s="32" t="n">
        <x:f>IF('Analysis'!$D$21="% of price",'Analysis'!$C$8*'Analysis'!$C$21/100,'Analysis'!$C$21)/12*(1+'Analysis'!$C$27)^(V$5-1)</x:f>
        <x:v>175.35060530771017</x:v>
      </x:c>
      <x:c r="W12" s="32" t="n">
        <x:f>IF('Analysis'!$D$21="% of price",'Analysis'!$C$8*'Analysis'!$C$21/100,'Analysis'!$C$21)/12*(1+'Analysis'!$C$27)^(W$5-1)</x:f>
        <x:v>180.61112346694148</x:v>
      </x:c>
      <x:c r="X12" s="32" t="n">
        <x:f>IF('Analysis'!$D$21="% of price",'Analysis'!$C$8*'Analysis'!$C$21/100,'Analysis'!$C$21)/12*(1+'Analysis'!$C$27)^(X$5-1)</x:f>
        <x:v>186.0294571709497</x:v>
      </x:c>
      <x:c r="Y12" s="32" t="n">
        <x:f>IF('Analysis'!$D$21="% of price",'Analysis'!$C$8*'Analysis'!$C$21/100,'Analysis'!$C$21)/12*(1+'Analysis'!$C$27)^(Y$5-1)</x:f>
        <x:v>191.61034088607823</x:v>
      </x:c>
      <x:c r="Z12" s="32" t="n">
        <x:f>IF('Analysis'!$D$21="% of price",'Analysis'!$C$8*'Analysis'!$C$21/100,'Analysis'!$C$21)/12*(1+'Analysis'!$C$27)^(Z$5-1)</x:f>
        <x:v>197.35865111266057</x:v>
      </x:c>
      <x:c r="AA12" s="32" t="n">
        <x:f>IF('Analysis'!$D$21="% of price",'Analysis'!$C$8*'Analysis'!$C$21/100,'Analysis'!$C$21)/12*(1+'Analysis'!$C$27)^(AA$5-1)</x:f>
        <x:v>203.2794106460404</x:v>
      </x:c>
      <x:c r="AB12" s="32" t="n">
        <x:f>IF('Analysis'!$D$21="% of price",'Analysis'!$C$8*'Analysis'!$C$21/100,'Analysis'!$C$21)/12*(1+'Analysis'!$C$27)^(AB$5-1)</x:f>
        <x:v>209.3777929654216</x:v>
      </x:c>
      <x:c r="AC12" s="32" t="n">
        <x:f>IF('Analysis'!$D$21="% of price",'Analysis'!$C$8*'Analysis'!$C$21/100,'Analysis'!$C$21)/12*(1+'Analysis'!$C$27)^(AC$5-1)</x:f>
        <x:v>215.6591267543843</x:v>
      </x:c>
      <x:c r="AD12" s="32" t="n">
        <x:f>IF('Analysis'!$D$21="% of price",'Analysis'!$C$8*'Analysis'!$C$21/100,'Analysis'!$C$21)/12*(1+'Analysis'!$C$27)^(AD$5-1)</x:f>
        <x:v>222.1289005570158</x:v>
      </x:c>
      <x:c r="AE12" s="32" t="n">
        <x:f>IF('Analysis'!$D$21="% of price",'Analysis'!$C$8*'Analysis'!$C$21/100,'Analysis'!$C$21)/12*(1+'Analysis'!$C$27)^(AE$5-1)</x:f>
        <x:v>228.79276757372628</x:v>
      </x:c>
      <x:c r="AF12" s="32" t="n">
        <x:f>IF('Analysis'!$D$21="% of price",'Analysis'!$C$8*'Analysis'!$C$21/100,'Analysis'!$C$21)/12*(1+'Analysis'!$C$27)^(AF$5-1)</x:f>
        <x:v>235.6565506009381</x:v>
      </x:c>
    </x:row>
    <x:row r="13" ht="22" customHeight="1">
      <x:c r="A13" s="2"/>
      <x:c r="B13" s="2" t="str">
        <x:v>Property taxes</x:v>
      </x:c>
      <x:c r="C13" s="32" t="n">
        <x:f>IF('Analysis'!$D$22="% of price",'Analysis'!$C$8*'Analysis'!$C$22/100,'Analysis'!$C$22)/12*(1+'Analysis'!$C$27)^(C$5-1)</x:f>
        <x:v>150</x:v>
      </x:c>
      <x:c r="D13" s="32" t="n">
        <x:f>IF('Analysis'!$D$22="% of price",'Analysis'!$C$8*'Analysis'!$C$22/100,'Analysis'!$C$22)/12*(1+'Analysis'!$C$27)^(D$5-1)</x:f>
        <x:v>154.5</x:v>
      </x:c>
      <x:c r="E13" s="32" t="n">
        <x:f>IF('Analysis'!$D$22="% of price",'Analysis'!$C$8*'Analysis'!$C$22/100,'Analysis'!$C$22)/12*(1+'Analysis'!$C$27)^(E$5-1)</x:f>
        <x:v>159.135</x:v>
      </x:c>
      <x:c r="F13" s="32" t="n">
        <x:f>IF('Analysis'!$D$22="% of price",'Analysis'!$C$8*'Analysis'!$C$22/100,'Analysis'!$C$22)/12*(1+'Analysis'!$C$27)^(F$5-1)</x:f>
        <x:v>163.90905</x:v>
      </x:c>
      <x:c r="G13" s="32" t="n">
        <x:f>IF('Analysis'!$D$22="% of price",'Analysis'!$C$8*'Analysis'!$C$22/100,'Analysis'!$C$22)/12*(1+'Analysis'!$C$27)^(G$5-1)</x:f>
        <x:v>168.82632150000003</x:v>
      </x:c>
      <x:c r="H13" s="32" t="n">
        <x:f>IF('Analysis'!$D$22="% of price",'Analysis'!$C$8*'Analysis'!$C$22/100,'Analysis'!$C$22)/12*(1+'Analysis'!$C$27)^(H$5-1)</x:f>
        <x:v>173.891111145</x:v>
      </x:c>
      <x:c r="I13" s="32" t="n">
        <x:f>IF('Analysis'!$D$22="% of price",'Analysis'!$C$8*'Analysis'!$C$22/100,'Analysis'!$C$22)/12*(1+'Analysis'!$C$27)^(I$5-1)</x:f>
        <x:v>179.10784447935</x:v>
      </x:c>
      <x:c r="J13" s="32" t="n">
        <x:f>IF('Analysis'!$D$22="% of price",'Analysis'!$C$8*'Analysis'!$C$22/100,'Analysis'!$C$22)/12*(1+'Analysis'!$C$27)^(J$5-1)</x:f>
        <x:v>184.48107981373053</x:v>
      </x:c>
      <x:c r="K13" s="32" t="n">
        <x:f>IF('Analysis'!$D$22="% of price",'Analysis'!$C$8*'Analysis'!$C$22/100,'Analysis'!$C$22)/12*(1+'Analysis'!$C$27)^(K$5-1)</x:f>
        <x:v>190.01551220814247</x:v>
      </x:c>
      <x:c r="L13" s="32" t="n">
        <x:f>IF('Analysis'!$D$22="% of price",'Analysis'!$C$8*'Analysis'!$C$22/100,'Analysis'!$C$22)/12*(1+'Analysis'!$C$27)^(L$5-1)</x:f>
        <x:v>195.71597757438673</x:v>
      </x:c>
      <x:c r="M13" s="32" t="n">
        <x:f>IF('Analysis'!$D$22="% of price",'Analysis'!$C$8*'Analysis'!$C$22/100,'Analysis'!$C$22)/12*(1+'Analysis'!$C$27)^(M$5-1)</x:f>
        <x:v>201.58745690161834</x:v>
      </x:c>
      <x:c r="N13" s="32" t="n">
        <x:f>IF('Analysis'!$D$22="% of price",'Analysis'!$C$8*'Analysis'!$C$22/100,'Analysis'!$C$22)/12*(1+'Analysis'!$C$27)^(N$5-1)</x:f>
        <x:v>207.6350806086669</x:v>
      </x:c>
      <x:c r="O13" s="32" t="n">
        <x:f>IF('Analysis'!$D$22="% of price",'Analysis'!$C$8*'Analysis'!$C$22/100,'Analysis'!$C$22)/12*(1+'Analysis'!$C$27)^(O$5-1)</x:f>
        <x:v>213.8641330269269</x:v>
      </x:c>
      <x:c r="P13" s="32" t="n">
        <x:f>IF('Analysis'!$D$22="% of price",'Analysis'!$C$8*'Analysis'!$C$22/100,'Analysis'!$C$22)/12*(1+'Analysis'!$C$27)^(P$5-1)</x:f>
        <x:v>220.28005701773472</x:v>
      </x:c>
      <x:c r="Q13" s="32" t="n">
        <x:f>IF('Analysis'!$D$22="% of price",'Analysis'!$C$8*'Analysis'!$C$22/100,'Analysis'!$C$22)/12*(1+'Analysis'!$C$27)^(Q$5-1)</x:f>
        <x:v>226.88845872826678</x:v>
      </x:c>
      <x:c r="R13" s="32" t="n">
        <x:f>IF('Analysis'!$D$22="% of price",'Analysis'!$C$8*'Analysis'!$C$22/100,'Analysis'!$C$22)/12*(1+'Analysis'!$C$27)^(R$5-1)</x:f>
        <x:v>233.69511249011475</x:v>
      </x:c>
      <x:c r="S13" s="32" t="n">
        <x:f>IF('Analysis'!$D$22="% of price",'Analysis'!$C$8*'Analysis'!$C$22/100,'Analysis'!$C$22)/12*(1+'Analysis'!$C$27)^(S$5-1)</x:f>
        <x:v>240.70596586481824</x:v>
      </x:c>
      <x:c r="T13" s="32" t="n">
        <x:f>IF('Analysis'!$D$22="% of price",'Analysis'!$C$8*'Analysis'!$C$22/100,'Analysis'!$C$22)/12*(1+'Analysis'!$C$27)^(T$5-1)</x:f>
        <x:v>247.92714484076276</x:v>
      </x:c>
      <x:c r="U13" s="32" t="n">
        <x:f>IF('Analysis'!$D$22="% of price",'Analysis'!$C$8*'Analysis'!$C$22/100,'Analysis'!$C$22)/12*(1+'Analysis'!$C$27)^(U$5-1)</x:f>
        <x:v>255.3649591859857</x:v>
      </x:c>
      <x:c r="V13" s="32" t="n">
        <x:f>IF('Analysis'!$D$22="% of price",'Analysis'!$C$8*'Analysis'!$C$22/100,'Analysis'!$C$22)/12*(1+'Analysis'!$C$27)^(V$5-1)</x:f>
        <x:v>263.0259079615652</x:v>
      </x:c>
      <x:c r="W13" s="32" t="n">
        <x:f>IF('Analysis'!$D$22="% of price",'Analysis'!$C$8*'Analysis'!$C$22/100,'Analysis'!$C$22)/12*(1+'Analysis'!$C$27)^(W$5-1)</x:f>
        <x:v>270.91668520041225</x:v>
      </x:c>
      <x:c r="X13" s="32" t="n">
        <x:f>IF('Analysis'!$D$22="% of price",'Analysis'!$C$8*'Analysis'!$C$22/100,'Analysis'!$C$22)/12*(1+'Analysis'!$C$27)^(X$5-1)</x:f>
        <x:v>279.04418575642455</x:v>
      </x:c>
      <x:c r="Y13" s="32" t="n">
        <x:f>IF('Analysis'!$D$22="% of price",'Analysis'!$C$8*'Analysis'!$C$22/100,'Analysis'!$C$22)/12*(1+'Analysis'!$C$27)^(Y$5-1)</x:f>
        <x:v>287.41551132911735</x:v>
      </x:c>
      <x:c r="Z13" s="32" t="n">
        <x:f>IF('Analysis'!$D$22="% of price",'Analysis'!$C$8*'Analysis'!$C$22/100,'Analysis'!$C$22)/12*(1+'Analysis'!$C$27)^(Z$5-1)</x:f>
        <x:v>296.0379766689909</x:v>
      </x:c>
      <x:c r="AA13" s="32" t="n">
        <x:f>IF('Analysis'!$D$22="% of price",'Analysis'!$C$8*'Analysis'!$C$22/100,'Analysis'!$C$22)/12*(1+'Analysis'!$C$27)^(AA$5-1)</x:f>
        <x:v>304.9191159690606</x:v>
      </x:c>
      <x:c r="AB13" s="32" t="n">
        <x:f>IF('Analysis'!$D$22="% of price",'Analysis'!$C$8*'Analysis'!$C$22/100,'Analysis'!$C$22)/12*(1+'Analysis'!$C$27)^(AB$5-1)</x:f>
        <x:v>314.0666894481324</x:v>
      </x:c>
      <x:c r="AC13" s="32" t="n">
        <x:f>IF('Analysis'!$D$22="% of price",'Analysis'!$C$8*'Analysis'!$C$22/100,'Analysis'!$C$22)/12*(1+'Analysis'!$C$27)^(AC$5-1)</x:f>
        <x:v>323.4886901315764</x:v>
      </x:c>
      <x:c r="AD13" s="32" t="n">
        <x:f>IF('Analysis'!$D$22="% of price",'Analysis'!$C$8*'Analysis'!$C$22/100,'Analysis'!$C$22)/12*(1+'Analysis'!$C$27)^(AD$5-1)</x:f>
        <x:v>333.19335083552374</x:v>
      </x:c>
      <x:c r="AE13" s="32" t="n">
        <x:f>IF('Analysis'!$D$22="% of price",'Analysis'!$C$8*'Analysis'!$C$22/100,'Analysis'!$C$22)/12*(1+'Analysis'!$C$27)^(AE$5-1)</x:f>
        <x:v>343.18915136058945</x:v>
      </x:c>
      <x:c r="AF13" s="32" t="n">
        <x:f>IF('Analysis'!$D$22="% of price",'Analysis'!$C$8*'Analysis'!$C$22/100,'Analysis'!$C$22)/12*(1+'Analysis'!$C$27)^(AF$5-1)</x:f>
        <x:v>353.48482590140713</x:v>
      </x:c>
    </x:row>
    <x:row r="14" ht="22" customHeight="1">
      <x:c r="A14" s="2"/>
      <x:c r="B14" s="2" t="str">
        <x:v>Other expenses</x:v>
      </x:c>
      <x:c r="C14" s="32" t="n">
        <x:f>'Analysis'!$C$23*(1+'Analysis'!$C$27)^(C$5-1)</x:f>
        <x:v>0</x:v>
      </x:c>
      <x:c r="D14" s="32" t="n">
        <x:f>'Analysis'!$C$23*(1+'Analysis'!$C$27)^(D$5-1)</x:f>
        <x:v>0</x:v>
      </x:c>
      <x:c r="E14" s="32" t="n">
        <x:f>'Analysis'!$C$23*(1+'Analysis'!$C$27)^(E$5-1)</x:f>
        <x:v>0</x:v>
      </x:c>
      <x:c r="F14" s="32" t="n">
        <x:f>'Analysis'!$C$23*(1+'Analysis'!$C$27)^(F$5-1)</x:f>
        <x:v>0</x:v>
      </x:c>
      <x:c r="G14" s="32" t="n">
        <x:f>'Analysis'!$C$23*(1+'Analysis'!$C$27)^(G$5-1)</x:f>
        <x:v>0</x:v>
      </x:c>
      <x:c r="H14" s="32" t="n">
        <x:f>'Analysis'!$C$23*(1+'Analysis'!$C$27)^(H$5-1)</x:f>
        <x:v>0</x:v>
      </x:c>
      <x:c r="I14" s="32" t="n">
        <x:f>'Analysis'!$C$23*(1+'Analysis'!$C$27)^(I$5-1)</x:f>
        <x:v>0</x:v>
      </x:c>
      <x:c r="J14" s="32" t="n">
        <x:f>'Analysis'!$C$23*(1+'Analysis'!$C$27)^(J$5-1)</x:f>
        <x:v>0</x:v>
      </x:c>
      <x:c r="K14" s="32" t="n">
        <x:f>'Analysis'!$C$23*(1+'Analysis'!$C$27)^(K$5-1)</x:f>
        <x:v>0</x:v>
      </x:c>
      <x:c r="L14" s="32" t="n">
        <x:f>'Analysis'!$C$23*(1+'Analysis'!$C$27)^(L$5-1)</x:f>
        <x:v>0</x:v>
      </x:c>
      <x:c r="M14" s="32" t="n">
        <x:f>'Analysis'!$C$23*(1+'Analysis'!$C$27)^(M$5-1)</x:f>
        <x:v>0</x:v>
      </x:c>
      <x:c r="N14" s="32" t="n">
        <x:f>'Analysis'!$C$23*(1+'Analysis'!$C$27)^(N$5-1)</x:f>
        <x:v>0</x:v>
      </x:c>
      <x:c r="O14" s="32" t="n">
        <x:f>'Analysis'!$C$23*(1+'Analysis'!$C$27)^(O$5-1)</x:f>
        <x:v>0</x:v>
      </x:c>
      <x:c r="P14" s="32" t="n">
        <x:f>'Analysis'!$C$23*(1+'Analysis'!$C$27)^(P$5-1)</x:f>
        <x:v>0</x:v>
      </x:c>
      <x:c r="Q14" s="32" t="n">
        <x:f>'Analysis'!$C$23*(1+'Analysis'!$C$27)^(Q$5-1)</x:f>
        <x:v>0</x:v>
      </x:c>
      <x:c r="R14" s="32" t="n">
        <x:f>'Analysis'!$C$23*(1+'Analysis'!$C$27)^(R$5-1)</x:f>
        <x:v>0</x:v>
      </x:c>
      <x:c r="S14" s="32" t="n">
        <x:f>'Analysis'!$C$23*(1+'Analysis'!$C$27)^(S$5-1)</x:f>
        <x:v>0</x:v>
      </x:c>
      <x:c r="T14" s="32" t="n">
        <x:f>'Analysis'!$C$23*(1+'Analysis'!$C$27)^(T$5-1)</x:f>
        <x:v>0</x:v>
      </x:c>
      <x:c r="U14" s="32" t="n">
        <x:f>'Analysis'!$C$23*(1+'Analysis'!$C$27)^(U$5-1)</x:f>
        <x:v>0</x:v>
      </x:c>
      <x:c r="V14" s="32" t="n">
        <x:f>'Analysis'!$C$23*(1+'Analysis'!$C$27)^(V$5-1)</x:f>
        <x:v>0</x:v>
      </x:c>
      <x:c r="W14" s="32" t="n">
        <x:f>'Analysis'!$C$23*(1+'Analysis'!$C$27)^(W$5-1)</x:f>
        <x:v>0</x:v>
      </x:c>
      <x:c r="X14" s="32" t="n">
        <x:f>'Analysis'!$C$23*(1+'Analysis'!$C$27)^(X$5-1)</x:f>
        <x:v>0</x:v>
      </x:c>
      <x:c r="Y14" s="32" t="n">
        <x:f>'Analysis'!$C$23*(1+'Analysis'!$C$27)^(Y$5-1)</x:f>
        <x:v>0</x:v>
      </x:c>
      <x:c r="Z14" s="32" t="n">
        <x:f>'Analysis'!$C$23*(1+'Analysis'!$C$27)^(Z$5-1)</x:f>
        <x:v>0</x:v>
      </x:c>
      <x:c r="AA14" s="32" t="n">
        <x:f>'Analysis'!$C$23*(1+'Analysis'!$C$27)^(AA$5-1)</x:f>
        <x:v>0</x:v>
      </x:c>
      <x:c r="AB14" s="32" t="n">
        <x:f>'Analysis'!$C$23*(1+'Analysis'!$C$27)^(AB$5-1)</x:f>
        <x:v>0</x:v>
      </x:c>
      <x:c r="AC14" s="32" t="n">
        <x:f>'Analysis'!$C$23*(1+'Analysis'!$C$27)^(AC$5-1)</x:f>
        <x:v>0</x:v>
      </x:c>
      <x:c r="AD14" s="32" t="n">
        <x:f>'Analysis'!$C$23*(1+'Analysis'!$C$27)^(AD$5-1)</x:f>
        <x:v>0</x:v>
      </x:c>
      <x:c r="AE14" s="32" t="n">
        <x:f>'Analysis'!$C$23*(1+'Analysis'!$C$27)^(AE$5-1)</x:f>
        <x:v>0</x:v>
      </x:c>
      <x:c r="AF14" s="32" t="n">
        <x:f>'Analysis'!$C$23*(1+'Analysis'!$C$27)^(AF$5-1)</x:f>
        <x:v>0</x:v>
      </x:c>
    </x:row>
    <x:row r="15" ht="22" customHeight="1">
      <x:c r="A15" s="2"/>
      <x:c r="B15" s="24" t="str">
        <x:v>Monthly costs &amp; reserves</x:v>
      </x:c>
      <x:c r="C15" s="25" t="n">
        <x:f>SUM(C8:C14)</x:f>
        <x:v>950</x:v>
      </x:c>
      <x:c r="D15" s="25" t="n">
        <x:f>SUM(D8:D14)</x:f>
        <x:v>978.5</x:v>
      </x:c>
      <x:c r="E15" s="25" t="n">
        <x:f>SUM(E8:E14)</x:f>
        <x:v>1007.8549999999998</x:v>
      </x:c>
      <x:c r="F15" s="25" t="n">
        <x:f>SUM(F8:F14)</x:f>
        <x:v>1038.09065</x:v>
      </x:c>
      <x:c r="G15" s="25" t="n">
        <x:f>SUM(G8:G14)</x:f>
        <x:v>1069.2333695</x:v>
      </x:c>
      <x:c r="H15" s="25" t="n">
        <x:f>SUM(H8:H14)</x:f>
        <x:v>1101.310370585</x:v>
      </x:c>
      <x:c r="I15" s="25" t="n">
        <x:f>SUM(I8:I14)</x:f>
        <x:v>1134.3496817025502</x:v>
      </x:c>
      <x:c r="J15" s="25" t="n">
        <x:f>SUM(J8:J14)</x:f>
        <x:v>1168.3801721536267</x:v>
      </x:c>
      <x:c r="K15" s="25" t="n">
        <x:f>SUM(K8:K14)</x:f>
        <x:v>1203.4315773182354</x:v>
      </x:c>
      <x:c r="L15" s="25" t="n">
        <x:f>SUM(L8:L14)</x:f>
        <x:v>1239.5345246377826</x:v>
      </x:c>
      <x:c r="M15" s="25" t="n">
        <x:f>SUM(M8:M14)</x:f>
        <x:v>1276.7205603769162</x:v>
      </x:c>
      <x:c r="N15" s="25" t="n">
        <x:f>SUM(N8:N14)</x:f>
        <x:v>1315.0221771882236</x:v>
      </x:c>
      <x:c r="O15" s="25" t="n">
        <x:f>SUM(O8:O14)</x:f>
        <x:v>1354.4728425038704</x:v>
      </x:c>
      <x:c r="P15" s="25" t="n">
        <x:f>SUM(P8:P14)</x:f>
        <x:v>1395.1070277789865</x:v>
      </x:c>
      <x:c r="Q15" s="25" t="n">
        <x:f>SUM(Q8:Q14)</x:f>
        <x:v>1436.9602386123563</x:v>
      </x:c>
      <x:c r="R15" s="25" t="n">
        <x:f>SUM(R8:R14)</x:f>
        <x:v>1480.0690457707271</x:v>
      </x:c>
      <x:c r="S15" s="25" t="n">
        <x:f>SUM(S8:S14)</x:f>
        <x:v>1524.4711171438487</x:v>
      </x:c>
      <x:c r="T15" s="25" t="n">
        <x:f>SUM(T8:T14)</x:f>
        <x:v>1570.2052506581642</x:v>
      </x:c>
      <x:c r="U15" s="25" t="n">
        <x:f>SUM(U8:U14)</x:f>
        <x:v>1617.3114081779095</x:v>
      </x:c>
      <x:c r="V15" s="25" t="n">
        <x:f>SUM(V8:V14)</x:f>
        <x:v>1665.8307504232464</x:v>
      </x:c>
      <x:c r="W15" s="25" t="n">
        <x:f>SUM(W8:W14)</x:f>
        <x:v>1715.8056729359444</x:v>
      </x:c>
      <x:c r="X15" s="25" t="n">
        <x:f>SUM(X8:X14)</x:f>
        <x:v>1767.2798431240221</x:v>
      </x:c>
      <x:c r="Y15" s="25" t="n">
        <x:f>SUM(Y8:Y14)</x:f>
        <x:v>1820.2982384177433</x:v>
      </x:c>
      <x:c r="Z15" s="25" t="n">
        <x:f>SUM(Z8:Z14)</x:f>
        <x:v>1874.9071855702757</x:v>
      </x:c>
      <x:c r="AA15" s="25" t="n">
        <x:f>SUM(AA8:AA14)</x:f>
        <x:v>1931.154401137384</x:v>
      </x:c>
      <x:c r="AB15" s="25" t="n">
        <x:f>SUM(AB8:AB14)</x:f>
        <x:v>1989.0890331715052</x:v>
      </x:c>
      <x:c r="AC15" s="25" t="n">
        <x:f>SUM(AC8:AC14)</x:f>
        <x:v>2048.7617041666504</x:v>
      </x:c>
      <x:c r="AD15" s="25" t="n">
        <x:f>SUM(AD8:AD14)</x:f>
        <x:v>2110.2245552916506</x:v>
      </x:c>
      <x:c r="AE15" s="25" t="n">
        <x:f>SUM(AE8:AE14)</x:f>
        <x:v>2173.5312919503995</x:v>
      </x:c>
      <x:c r="AF15" s="25" t="n">
        <x:f>SUM(AF8:AF14)</x:f>
        <x:v>2238.7372307089117</x:v>
      </x:c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</x:row>
    <x:row r="17" ht="22" customHeight="1">
      <x:c r="A17" s="2"/>
      <x:c r="B17" s="24" t="str">
        <x:v>Annual net operating income</x:v>
      </x:c>
      <x:c r="C17" s="25" t="n">
        <x:f>(C7-SUM(C8:C10)-SUM(C12:C14))*12</x:f>
        <x:v>15000</x:v>
      </x:c>
      <x:c r="D17" s="25" t="n">
        <x:f>(D7-SUM(D8:D10)-SUM(D12:D14))*12</x:f>
        <x:v>15450</x:v>
      </x:c>
      <x:c r="E17" s="25" t="n">
        <x:f>(E7-SUM(E8:E10)-SUM(E12:E14))*12</x:f>
        <x:v>15913.5</x:v>
      </x:c>
      <x:c r="F17" s="25" t="n">
        <x:f>(F7-SUM(F8:F10)-SUM(F12:F14))*12</x:f>
        <x:v>16390.905000000002</x:v>
      </x:c>
      <x:c r="G17" s="25" t="n">
        <x:f>(G7-SUM(G8:G10)-SUM(G12:G14))*12</x:f>
        <x:v>16882.632149999998</x:v>
      </x:c>
      <x:c r="H17" s="25" t="n">
        <x:f>(H7-SUM(H8:H10)-SUM(H12:H14))*12</x:f>
        <x:v>17389.111114500003</x:v>
      </x:c>
      <x:c r="I17" s="25" t="n">
        <x:f>(I7-SUM(I8:I10)-SUM(I12:I14))*12</x:f>
        <x:v>17910.784447935002</x:v>
      </x:c>
      <x:c r="J17" s="25" t="n">
        <x:f>(J7-SUM(J8:J10)-SUM(J12:J14))*12</x:f>
        <x:v>18448.107981373054</x:v>
      </x:c>
      <x:c r="K17" s="25" t="n">
        <x:f>(K7-SUM(K8:K10)-SUM(K12:K14))*12</x:f>
        <x:v>19001.551220814246</x:v>
      </x:c>
      <x:c r="L17" s="25" t="n">
        <x:f>(L7-SUM(L8:L10)-SUM(L12:L14))*12</x:f>
        <x:v>19571.597757438678</x:v>
      </x:c>
      <x:c r="M17" s="25" t="n">
        <x:f>(M7-SUM(M8:M10)-SUM(M12:M14))*12</x:f>
        <x:v>20158.745690161835</x:v>
      </x:c>
      <x:c r="N17" s="25" t="n">
        <x:f>(N7-SUM(N8:N10)-SUM(N12:N14))*12</x:f>
        <x:v>20763.508060866687</x:v>
      </x:c>
      <x:c r="O17" s="25" t="n">
        <x:f>(O7-SUM(O8:O10)-SUM(O12:O14))*12</x:f>
        <x:v>21386.41330269269</x:v>
      </x:c>
      <x:c r="P17" s="25" t="n">
        <x:f>(P7-SUM(P8:P10)-SUM(P12:P14))*12</x:f>
        <x:v>22028.005701773473</x:v>
      </x:c>
      <x:c r="Q17" s="25" t="n">
        <x:f>(Q7-SUM(Q8:Q10)-SUM(Q12:Q14))*12</x:f>
        <x:v>22688.845872826678</x:v>
      </x:c>
      <x:c r="R17" s="25" t="n">
        <x:f>(R7-SUM(R8:R10)-SUM(R12:R14))*12</x:f>
        <x:v>23369.511249011473</x:v>
      </x:c>
      <x:c r="S17" s="25" t="n">
        <x:f>(S7-SUM(S8:S10)-SUM(S12:S14))*12</x:f>
        <x:v>24070.596586481824</x:v>
      </x:c>
      <x:c r="T17" s="25" t="n">
        <x:f>(T7-SUM(T8:T10)-SUM(T12:T14))*12</x:f>
        <x:v>24792.714484076278</x:v>
      </x:c>
      <x:c r="U17" s="25" t="n">
        <x:f>(U7-SUM(U8:U10)-SUM(U12:U14))*12</x:f>
        <x:v>25536.49591859857</x:v>
      </x:c>
      <x:c r="V17" s="25" t="n">
        <x:f>(V7-SUM(V8:V10)-SUM(V12:V14))*12</x:f>
        <x:v>26302.59079615652</x:v>
      </x:c>
      <x:c r="W17" s="25" t="n">
        <x:f>(W7-SUM(W8:W10)-SUM(W12:W14))*12</x:f>
        <x:v>27091.668520041218</x:v>
      </x:c>
      <x:c r="X17" s="25" t="n">
        <x:f>(X7-SUM(X8:X10)-SUM(X12:X14))*12</x:f>
        <x:v>27904.418575642456</x:v>
      </x:c>
      <x:c r="Y17" s="25" t="n">
        <x:f>(Y7-SUM(Y8:Y10)-SUM(Y12:Y14))*12</x:f>
        <x:v>28741.551132911736</x:v>
      </x:c>
      <x:c r="Z17" s="25" t="n">
        <x:f>(Z7-SUM(Z8:Z10)-SUM(Z12:Z14))*12</x:f>
        <x:v>29603.79766689909</x:v>
      </x:c>
      <x:c r="AA17" s="25" t="n">
        <x:f>(AA7-SUM(AA8:AA10)-SUM(AA12:AA14))*12</x:f>
        <x:v>30491.91159690606</x:v>
      </x:c>
      <x:c r="AB17" s="25" t="n">
        <x:f>(AB7-SUM(AB8:AB10)-SUM(AB12:AB14))*12</x:f>
        <x:v>31406.668944813246</x:v>
      </x:c>
      <x:c r="AC17" s="25" t="n">
        <x:f>(AC7-SUM(AC8:AC10)-SUM(AC12:AC14))*12</x:f>
        <x:v>32348.869013157637</x:v>
      </x:c>
      <x:c r="AD17" s="25" t="n">
        <x:f>(AD7-SUM(AD8:AD10)-SUM(AD12:AD14))*12</x:f>
        <x:v>33319.335083552374</x:v>
      </x:c>
      <x:c r="AE17" s="25" t="n">
        <x:f>(AE7-SUM(AE8:AE10)-SUM(AE12:AE14))*12</x:f>
        <x:v>34318.91513605894</x:v>
      </x:c>
      <x:c r="AF17" s="25" t="n">
        <x:f>(AF7-SUM(AF8:AF10)-SUM(AF12:AF14))*12</x:f>
        <x:v>35348.48259014071</x:v>
      </x:c>
    </x:row>
    <x:row r="18" ht="22" customHeight="1">
      <x:c r="A18" s="2"/>
      <x:c r="B18" s="2" t="str">
        <x:v>Major replacement reserves</x:v>
      </x:c>
      <x:c r="C18" s="16" t="n">
        <x:f>C11*12</x:f>
        <x:v>2400</x:v>
      </x:c>
      <x:c r="D18" s="16" t="n">
        <x:f>D11*12</x:f>
        <x:v>2472</x:v>
      </x:c>
      <x:c r="E18" s="16" t="n">
        <x:f>E11*12</x:f>
        <x:v>2546.1599999999994</x:v>
      </x:c>
      <x:c r="F18" s="16" t="n">
        <x:f>F11*12</x:f>
        <x:v>2622.5448</x:v>
      </x:c>
      <x:c r="G18" s="16" t="n">
        <x:f>G11*12</x:f>
        <x:v>2701.221144</x:v>
      </x:c>
      <x:c r="H18" s="16" t="n">
        <x:f>H11*12</x:f>
        <x:v>2782.2577783200004</x:v>
      </x:c>
      <x:c r="I18" s="16" t="n">
        <x:f>I11*12</x:f>
        <x:v>2865.7255116696006</x:v>
      </x:c>
      <x:c r="J18" s="16" t="n">
        <x:f>J11*12</x:f>
        <x:v>2951.6972770196885</x:v>
      </x:c>
      <x:c r="K18" s="16" t="n">
        <x:f>K11*12</x:f>
        <x:v>3040.2481953302795</x:v>
      </x:c>
      <x:c r="L18" s="16" t="n">
        <x:f>L11*12</x:f>
        <x:v>3131.4556411901876</x:v>
      </x:c>
      <x:c r="M18" s="16" t="n">
        <x:f>M11*12</x:f>
        <x:v>3225.3993104258934</x:v>
      </x:c>
      <x:c r="N18" s="16" t="n">
        <x:f>N11*12</x:f>
        <x:v>3322.1612897386703</x:v>
      </x:c>
      <x:c r="O18" s="16" t="n">
        <x:f>O11*12</x:f>
        <x:v>3421.82612843083</x:v>
      </x:c>
      <x:c r="P18" s="16" t="n">
        <x:f>P11*12</x:f>
        <x:v>3524.480912283756</x:v>
      </x:c>
      <x:c r="Q18" s="16" t="n">
        <x:f>Q11*12</x:f>
        <x:v>3630.215339652268</x:v>
      </x:c>
      <x:c r="R18" s="16" t="n">
        <x:f>R11*12</x:f>
        <x:v>3739.1217998418365</x:v>
      </x:c>
      <x:c r="S18" s="16" t="n">
        <x:f>S11*12</x:f>
        <x:v>3851.2954538370914</x:v>
      </x:c>
      <x:c r="T18" s="16" t="n">
        <x:f>T11*12</x:f>
        <x:v>3966.8343174522042</x:v>
      </x:c>
      <x:c r="U18" s="16" t="n">
        <x:f>U11*12</x:f>
        <x:v>4085.839346975771</x:v>
      </x:c>
      <x:c r="V18" s="16" t="n">
        <x:f>V11*12</x:f>
        <x:v>4208.414527385044</x:v>
      </x:c>
      <x:c r="W18" s="16" t="n">
        <x:f>W11*12</x:f>
        <x:v>4334.666963206596</x:v>
      </x:c>
      <x:c r="X18" s="16" t="n">
        <x:f>X11*12</x:f>
        <x:v>4464.706972102793</x:v>
      </x:c>
      <x:c r="Y18" s="16" t="n">
        <x:f>Y11*12</x:f>
        <x:v>4598.648181265878</x:v>
      </x:c>
      <x:c r="Z18" s="16" t="n">
        <x:f>Z11*12</x:f>
        <x:v>4736.607626703854</x:v>
      </x:c>
      <x:c r="AA18" s="16" t="n">
        <x:f>AA11*12</x:f>
        <x:v>4878.70585550497</x:v>
      </x:c>
      <x:c r="AB18" s="16" t="n">
        <x:f>AB11*12</x:f>
        <x:v>5025.067031170119</x:v>
      </x:c>
      <x:c r="AC18" s="16" t="n">
        <x:f>AC11*12</x:f>
        <x:v>5175.819042105222</x:v>
      </x:c>
      <x:c r="AD18" s="16" t="n">
        <x:f>AD11*12</x:f>
        <x:v>5331.093613368379</x:v>
      </x:c>
      <x:c r="AE18" s="16" t="n">
        <x:f>AE11*12</x:f>
        <x:v>5491.026421769431</x:v>
      </x:c>
      <x:c r="AF18" s="16" t="n">
        <x:f>AF11*12</x:f>
        <x:v>5655.757214422514</x:v>
      </x:c>
    </x:row>
    <x:row r="19" ht="22" customHeight="1">
      <x:c r="A19" s="2"/>
      <x:c r="B19" s="2" t="str">
        <x:v>Mortgage payments</x:v>
      </x:c>
      <x:c r="C19" s="32" t="n">
        <x:f>SUMIFS('Loan schedule'!$E$6:$E$605,'Loan schedule'!$C$6:$C$605,C$5)</x:f>
        <x:v>9439.395865462518</x:v>
      </x:c>
      <x:c r="D19" s="32" t="n">
        <x:f>SUMIFS('Loan schedule'!$E$6:$E$605,'Loan schedule'!$C$6:$C$605,D$5)</x:f>
        <x:v>9439.395865462518</x:v>
      </x:c>
      <x:c r="E19" s="32" t="n">
        <x:f>SUMIFS('Loan schedule'!$E$6:$E$605,'Loan schedule'!$C$6:$C$605,E$5)</x:f>
        <x:v>9439.395865462518</x:v>
      </x:c>
      <x:c r="F19" s="32" t="n">
        <x:f>SUMIFS('Loan schedule'!$E$6:$E$605,'Loan schedule'!$C$6:$C$605,F$5)</x:f>
        <x:v>9439.395865462518</x:v>
      </x:c>
      <x:c r="G19" s="32" t="n">
        <x:f>SUMIFS('Loan schedule'!$E$6:$E$605,'Loan schedule'!$C$6:$C$605,G$5)</x:f>
        <x:v>9439.395865462518</x:v>
      </x:c>
      <x:c r="H19" s="32" t="n">
        <x:f>SUMIFS('Loan schedule'!$E$6:$E$605,'Loan schedule'!$C$6:$C$605,H$5)</x:f>
        <x:v>9439.395865462518</x:v>
      </x:c>
      <x:c r="I19" s="32" t="n">
        <x:f>SUMIFS('Loan schedule'!$E$6:$E$605,'Loan schedule'!$C$6:$C$605,I$5)</x:f>
        <x:v>9439.395865462518</x:v>
      </x:c>
      <x:c r="J19" s="32" t="n">
        <x:f>SUMIFS('Loan schedule'!$E$6:$E$605,'Loan schedule'!$C$6:$C$605,J$5)</x:f>
        <x:v>9439.395865462518</x:v>
      </x:c>
      <x:c r="K19" s="32" t="n">
        <x:f>SUMIFS('Loan schedule'!$E$6:$E$605,'Loan schedule'!$C$6:$C$605,K$5)</x:f>
        <x:v>9439.395865462518</x:v>
      </x:c>
      <x:c r="L19" s="32" t="n">
        <x:f>SUMIFS('Loan schedule'!$E$6:$E$605,'Loan schedule'!$C$6:$C$605,L$5)</x:f>
        <x:v>9439.395865462518</x:v>
      </x:c>
      <x:c r="M19" s="32" t="n">
        <x:f>SUMIFS('Loan schedule'!$E$6:$E$605,'Loan schedule'!$C$6:$C$605,M$5)</x:f>
        <x:v>9439.395865462518</x:v>
      </x:c>
      <x:c r="N19" s="32" t="n">
        <x:f>SUMIFS('Loan schedule'!$E$6:$E$605,'Loan schedule'!$C$6:$C$605,N$5)</x:f>
        <x:v>9439.395865462518</x:v>
      </x:c>
      <x:c r="O19" s="32" t="n">
        <x:f>SUMIFS('Loan schedule'!$E$6:$E$605,'Loan schedule'!$C$6:$C$605,O$5)</x:f>
        <x:v>9439.395865462518</x:v>
      </x:c>
      <x:c r="P19" s="32" t="n">
        <x:f>SUMIFS('Loan schedule'!$E$6:$E$605,'Loan schedule'!$C$6:$C$605,P$5)</x:f>
        <x:v>9439.395865462518</x:v>
      </x:c>
      <x:c r="Q19" s="32" t="n">
        <x:f>SUMIFS('Loan schedule'!$E$6:$E$605,'Loan schedule'!$C$6:$C$605,Q$5)</x:f>
        <x:v>9439.395865462518</x:v>
      </x:c>
      <x:c r="R19" s="32" t="n">
        <x:f>SUMIFS('Loan schedule'!$E$6:$E$605,'Loan schedule'!$C$6:$C$605,R$5)</x:f>
        <x:v>9439.395865462518</x:v>
      </x:c>
      <x:c r="S19" s="32" t="n">
        <x:f>SUMIFS('Loan schedule'!$E$6:$E$605,'Loan schedule'!$C$6:$C$605,S$5)</x:f>
        <x:v>9439.395865462518</x:v>
      </x:c>
      <x:c r="T19" s="32" t="n">
        <x:f>SUMIFS('Loan schedule'!$E$6:$E$605,'Loan schedule'!$C$6:$C$605,T$5)</x:f>
        <x:v>9439.395865462518</x:v>
      </x:c>
      <x:c r="U19" s="32" t="n">
        <x:f>SUMIFS('Loan schedule'!$E$6:$E$605,'Loan schedule'!$C$6:$C$605,U$5)</x:f>
        <x:v>9439.395865462518</x:v>
      </x:c>
      <x:c r="V19" s="32" t="n">
        <x:f>SUMIFS('Loan schedule'!$E$6:$E$605,'Loan schedule'!$C$6:$C$605,V$5)</x:f>
        <x:v>9439.395865462518</x:v>
      </x:c>
      <x:c r="W19" s="32" t="n">
        <x:f>SUMIFS('Loan schedule'!$E$6:$E$605,'Loan schedule'!$C$6:$C$605,W$5)</x:f>
        <x:v>9439.395865462518</x:v>
      </x:c>
      <x:c r="X19" s="32" t="n">
        <x:f>SUMIFS('Loan schedule'!$E$6:$E$605,'Loan schedule'!$C$6:$C$605,X$5)</x:f>
        <x:v>9439.395865462518</x:v>
      </x:c>
      <x:c r="Y19" s="32" t="n">
        <x:f>SUMIFS('Loan schedule'!$E$6:$E$605,'Loan schedule'!$C$6:$C$605,Y$5)</x:f>
        <x:v>9439.395865462518</x:v>
      </x:c>
      <x:c r="Z19" s="32" t="n">
        <x:f>SUMIFS('Loan schedule'!$E$6:$E$605,'Loan schedule'!$C$6:$C$605,Z$5)</x:f>
        <x:v>9439.395865462518</x:v>
      </x:c>
      <x:c r="AA19" s="32" t="n">
        <x:f>SUMIFS('Loan schedule'!$E$6:$E$605,'Loan schedule'!$C$6:$C$605,AA$5)</x:f>
        <x:v>9439.395865462518</x:v>
      </x:c>
      <x:c r="AB19" s="32" t="n">
        <x:f>SUMIFS('Loan schedule'!$E$6:$E$605,'Loan schedule'!$C$6:$C$605,AB$5)</x:f>
        <x:v>9439.395865462518</x:v>
      </x:c>
      <x:c r="AC19" s="32" t="n">
        <x:f>SUMIFS('Loan schedule'!$E$6:$E$605,'Loan schedule'!$C$6:$C$605,AC$5)</x:f>
        <x:v>9439.395865462518</x:v>
      </x:c>
      <x:c r="AD19" s="32" t="n">
        <x:f>SUMIFS('Loan schedule'!$E$6:$E$605,'Loan schedule'!$C$6:$C$605,AD$5)</x:f>
        <x:v>9439.395865462518</x:v>
      </x:c>
      <x:c r="AE19" s="32" t="n">
        <x:f>SUMIFS('Loan schedule'!$E$6:$E$605,'Loan schedule'!$C$6:$C$605,AE$5)</x:f>
        <x:v>9439.395865462518</x:v>
      </x:c>
      <x:c r="AF19" s="32" t="n">
        <x:f>SUMIFS('Loan schedule'!$E$6:$E$605,'Loan schedule'!$C$6:$C$605,AF$5)</x:f>
        <x:v>9439.395865462518</x:v>
      </x:c>
    </x:row>
    <x:row r="20" ht="22" customHeight="1">
      <x:c r="A20" s="2"/>
      <x:c r="B20" s="2" t="str">
        <x:v>Principal repaid</x:v>
      </x:c>
      <x:c r="C20" s="32" t="n">
        <x:f>SUMIFS('Loan schedule'!$G$6:$G$605,'Loan schedule'!$C$6:$C$605,C$5)</x:f>
        <x:v>1037.063730919542</x:v>
      </x:c>
      <x:c r="D20" s="32" t="n">
        <x:f>SUMIFS('Loan schedule'!$G$6:$G$605,'Loan schedule'!$C$6:$C$605,D$5)</x:f>
        <x:v>1117.573683530158</x:v>
      </x:c>
      <x:c r="E20" s="32" t="n">
        <x:f>SUMIFS('Loan schedule'!$G$6:$G$605,'Loan schedule'!$C$6:$C$605,E$5)</x:f>
        <x:v>1204.3338329957119</x:v>
      </x:c>
      <x:c r="F20" s="32" t="n">
        <x:f>SUMIFS('Loan schedule'!$G$6:$G$605,'Loan schedule'!$C$6:$C$605,F$5)</x:f>
        <x:v>1297.8293983414144</x:v>
      </x:c>
      <x:c r="G20" s="32" t="n">
        <x:f>SUMIFS('Loan schedule'!$G$6:$G$605,'Loan schedule'!$C$6:$C$605,G$5)</x:f>
        <x:v>1398.583267406418</x:v>
      </x:c>
      <x:c r="H20" s="32" t="n">
        <x:f>SUMIFS('Loan schedule'!$G$6:$G$605,'Loan schedule'!$C$6:$C$605,H$5)</x:f>
        <x:v>1507.1589211717376</x:v>
      </x:c>
      <x:c r="I20" s="32" t="n">
        <x:f>SUMIFS('Loan schedule'!$G$6:$G$605,'Loan schedule'!$C$6:$C$605,I$5)</x:f>
        <x:v>1624.163585111352</x:v>
      </x:c>
      <x:c r="J20" s="32" t="n">
        <x:f>SUMIFS('Loan schedule'!$G$6:$G$605,'Loan schedule'!$C$6:$C$605,J$5)</x:f>
        <x:v>1750.251625190875</x:v>
      </x:c>
      <x:c r="K20" s="32" t="n">
        <x:f>SUMIFS('Loan schedule'!$G$6:$G$605,'Loan schedule'!$C$6:$C$605,K$5)</x:f>
        <x:v>1886.128207506435</x:v>
      </x:c>
      <x:c r="L20" s="32" t="n">
        <x:f>SUMIFS('Loan schedule'!$G$6:$G$605,'Loan schedule'!$C$6:$C$605,L$5)</x:f>
        <x:v>2032.553242030827</x:v>
      </x:c>
      <x:c r="M20" s="32" t="n">
        <x:f>SUMIFS('Loan schedule'!$G$6:$G$605,'Loan schedule'!$C$6:$C$605,M$5)</x:f>
        <x:v>2190.345632522932</x:v>
      </x:c>
      <x:c r="N20" s="32" t="n">
        <x:f>SUMIFS('Loan schedule'!$G$6:$G$605,'Loan schedule'!$C$6:$C$605,N$5)</x:f>
        <x:v>2360.387856368645</x:v>
      </x:c>
      <x:c r="O20" s="32" t="n">
        <x:f>SUMIFS('Loan schedule'!$G$6:$G$605,'Loan schedule'!$C$6:$C$605,O$5)</x:f>
        <x:v>2543.6308999667594</x:v>
      </x:c>
      <x:c r="P20" s="32" t="n">
        <x:f>SUMIFS('Loan schedule'!$G$6:$G$605,'Loan schedule'!$C$6:$C$605,P$5)</x:f>
        <x:v>2741.0995772616843</x:v>
      </x:c>
      <x:c r="Q20" s="32" t="n">
        <x:f>SUMIFS('Loan schedule'!$G$6:$G$605,'Loan schedule'!$C$6:$C$605,Q$5)</x:f>
        <x:v>2953.898261167678</x:v>
      </x:c>
      <x:c r="R20" s="32" t="n">
        <x:f>SUMIFS('Loan schedule'!$G$6:$G$605,'Loan schedule'!$C$6:$C$605,R$5)</x:f>
        <x:v>3183.217059938436</x:v>
      </x:c>
      <x:c r="S20" s="32" t="n">
        <x:f>SUMIFS('Loan schedule'!$G$6:$G$605,'Loan schedule'!$C$6:$C$605,S$5)</x:f>
        <x:v>3430.338473024312</x:v>
      </x:c>
      <x:c r="T20" s="32" t="n">
        <x:f>SUMIFS('Loan schedule'!$G$6:$G$605,'Loan schedule'!$C$6:$C$605,T$5)</x:f>
        <x:v>3696.644563641019</x:v>
      </x:c>
      <x:c r="U20" s="32" t="n">
        <x:f>SUMIFS('Loan schedule'!$G$6:$G$605,'Loan schedule'!$C$6:$C$605,U$5)</x:f>
        <x:v>3983.6246881634897</x:v>
      </x:c>
      <x:c r="V20" s="32" t="n">
        <x:f>SUMIFS('Loan schedule'!$G$6:$G$605,'Loan schedule'!$C$6:$C$605,V$5)</x:f>
        <x:v>4292.88382557267</x:v>
      </x:c>
      <x:c r="W20" s="32" t="n">
        <x:f>SUMIFS('Loan schedule'!$G$6:$G$605,'Loan schedule'!$C$6:$C$605,W$5)</x:f>
        <x:v>4626.151553538896</x:v>
      </x:c>
      <x:c r="X20" s="32" t="n">
        <x:f>SUMIFS('Loan schedule'!$G$6:$G$605,'Loan schedule'!$C$6:$C$605,X$5)</x:f>
        <x:v>4985.291721341988</x:v>
      </x:c>
      <x:c r="Y20" s="32" t="n">
        <x:f>SUMIFS('Loan schedule'!$G$6:$G$605,'Loan schedule'!$C$6:$C$605,Y$5)</x:f>
        <x:v>5372.312873725224</x:v>
      </x:c>
      <x:c r="Z20" s="32" t="n">
        <x:f>SUMIFS('Loan schedule'!$G$6:$G$605,'Loan schedule'!$C$6:$C$605,Z$5)</x:f>
        <x:v>5789.379483980226</x:v>
      </x:c>
      <x:c r="AA20" s="32" t="n">
        <x:f>SUMIFS('Loan schedule'!$G$6:$G$605,'Loan schedule'!$C$6:$C$605,AA$5)</x:f>
        <x:v>6238.8240590854</x:v>
      </x:c>
      <x:c r="AB20" s="32" t="n">
        <x:f>SUMIFS('Loan schedule'!$G$6:$G$605,'Loan schedule'!$C$6:$C$605,AB$5)</x:f>
        <x:v>6723.160184597733</x:v>
      </x:c>
      <x:c r="AC20" s="32" t="n">
        <x:f>SUMIFS('Loan schedule'!$G$6:$G$605,'Loan schedule'!$C$6:$C$605,AC$5)</x:f>
        <x:v>7245.09658225345</x:v>
      </x:c>
      <x:c r="AD20" s="32" t="n">
        <x:f>SUMIFS('Loan schedule'!$G$6:$G$605,'Loan schedule'!$C$6:$C$605,AD$5)</x:f>
        <x:v>7807.552258896734</x:v>
      </x:c>
      <x:c r="AE20" s="32" t="n">
        <x:f>SUMIFS('Loan schedule'!$G$6:$G$605,'Loan schedule'!$C$6:$C$605,AE$5)</x:f>
        <x:v>8413.672831459166</x:v>
      </x:c>
      <x:c r="AF20" s="32" t="n">
        <x:f>SUMIFS('Loan schedule'!$G$6:$G$605,'Loan schedule'!$C$6:$C$605,AF$5)</x:f>
        <x:v>9066.848119289722</x:v>
      </x:c>
    </x:row>
    <x:row r="21" ht="22" customHeight="1">
      <x:c r="A21" s="2"/>
      <x:c r="B21" s="2" t="str">
        <x:v>Interest paid</x:v>
      </x:c>
      <x:c r="C21" s="32" t="n">
        <x:f>SUMIFS('Loan schedule'!$F$6:$F$605,'Loan schedule'!$C$6:$C$605,C$5)</x:f>
        <x:v>8402.332134542976</x:v>
      </x:c>
      <x:c r="D21" s="32" t="n">
        <x:f>SUMIFS('Loan schedule'!$F$6:$F$605,'Loan schedule'!$C$6:$C$605,D$5)</x:f>
        <x:v>8321.822181932363</x:v>
      </x:c>
      <x:c r="E21" s="32" t="n">
        <x:f>SUMIFS('Loan schedule'!$F$6:$F$605,'Loan schedule'!$C$6:$C$605,E$5)</x:f>
        <x:v>8235.062032466807</x:v>
      </x:c>
      <x:c r="F21" s="32" t="n">
        <x:f>SUMIFS('Loan schedule'!$F$6:$F$605,'Loan schedule'!$C$6:$C$605,F$5)</x:f>
        <x:v>8141.566467121103</x:v>
      </x:c>
      <x:c r="G21" s="32" t="n">
        <x:f>SUMIFS('Loan schedule'!$F$6:$F$605,'Loan schedule'!$C$6:$C$605,G$5)</x:f>
        <x:v>8040.812598056102</x:v>
      </x:c>
      <x:c r="H21" s="32" t="n">
        <x:f>SUMIFS('Loan schedule'!$F$6:$F$605,'Loan schedule'!$C$6:$C$605,H$5)</x:f>
        <x:v>7932.236944290782</x:v>
      </x:c>
      <x:c r="I21" s="32" t="n">
        <x:f>SUMIFS('Loan schedule'!$F$6:$F$605,'Loan schedule'!$C$6:$C$605,I$5)</x:f>
        <x:v>7815.232280351168</x:v>
      </x:c>
      <x:c r="J21" s="32" t="n">
        <x:f>SUMIFS('Loan schedule'!$F$6:$F$605,'Loan schedule'!$C$6:$C$605,J$5)</x:f>
        <x:v>7689.144240271644</x:v>
      </x:c>
      <x:c r="K21" s="32" t="n">
        <x:f>SUMIFS('Loan schedule'!$F$6:$F$605,'Loan schedule'!$C$6:$C$605,K$5)</x:f>
        <x:v>7553.267657956085</x:v>
      </x:c>
      <x:c r="L21" s="32" t="n">
        <x:f>SUMIFS('Loan schedule'!$F$6:$F$605,'Loan schedule'!$C$6:$C$605,L$5)</x:f>
        <x:v>7406.842623431692</x:v>
      </x:c>
      <x:c r="M21" s="32" t="n">
        <x:f>SUMIFS('Loan schedule'!$F$6:$F$605,'Loan schedule'!$C$6:$C$605,M$5)</x:f>
        <x:v>7249.050232939587</x:v>
      </x:c>
      <x:c r="N21" s="32" t="n">
        <x:f>SUMIFS('Loan schedule'!$F$6:$F$605,'Loan schedule'!$C$6:$C$605,N$5)</x:f>
        <x:v>7079.008009093874</x:v>
      </x:c>
      <x:c r="O21" s="32" t="n">
        <x:f>SUMIFS('Loan schedule'!$F$6:$F$605,'Loan schedule'!$C$6:$C$605,O$5)</x:f>
        <x:v>6895.7649654957595</x:v>
      </x:c>
      <x:c r="P21" s="32" t="n">
        <x:f>SUMIFS('Loan schedule'!$F$6:$F$605,'Loan schedule'!$C$6:$C$605,P$5)</x:f>
        <x:v>6698.296288200834</x:v>
      </x:c>
      <x:c r="Q21" s="32" t="n">
        <x:f>SUMIFS('Loan schedule'!$F$6:$F$605,'Loan schedule'!$C$6:$C$605,Q$5)</x:f>
        <x:v>6485.497604294841</x:v>
      </x:c>
      <x:c r="R21" s="32" t="n">
        <x:f>SUMIFS('Loan schedule'!$F$6:$F$605,'Loan schedule'!$C$6:$C$605,R$5)</x:f>
        <x:v>6256.178805524082</x:v>
      </x:c>
      <x:c r="S21" s="32" t="n">
        <x:f>SUMIFS('Loan schedule'!$F$6:$F$605,'Loan schedule'!$C$6:$C$605,S$5)</x:f>
        <x:v>6009.057392438208</x:v>
      </x:c>
      <x:c r="T21" s="32" t="n">
        <x:f>SUMIFS('Loan schedule'!$F$6:$F$605,'Loan schedule'!$C$6:$C$605,T$5)</x:f>
        <x:v>5742.7513018215</x:v>
      </x:c>
      <x:c r="U21" s="32" t="n">
        <x:f>SUMIFS('Loan schedule'!$F$6:$F$605,'Loan schedule'!$C$6:$C$605,U$5)</x:f>
        <x:v>5455.771177299029</x:v>
      </x:c>
      <x:c r="V21" s="32" t="n">
        <x:f>SUMIFS('Loan schedule'!$F$6:$F$605,'Loan schedule'!$C$6:$C$605,V$5)</x:f>
        <x:v>5146.512039889851</x:v>
      </x:c>
      <x:c r="W21" s="32" t="n">
        <x:f>SUMIFS('Loan schedule'!$F$6:$F$605,'Loan schedule'!$C$6:$C$605,W$5)</x:f>
        <x:v>4813.244311923622</x:v>
      </x:c>
      <x:c r="X21" s="32" t="n">
        <x:f>SUMIFS('Loan schedule'!$F$6:$F$605,'Loan schedule'!$C$6:$C$605,X$5)</x:f>
        <x:v>4454.104144120532</x:v>
      </x:c>
      <x:c r="Y21" s="32" t="n">
        <x:f>SUMIFS('Loan schedule'!$F$6:$F$605,'Loan schedule'!$C$6:$C$605,Y$5)</x:f>
        <x:v>4067.0829917372957</x:v>
      </x:c>
      <x:c r="Z21" s="32" t="n">
        <x:f>SUMIFS('Loan schedule'!$F$6:$F$605,'Loan schedule'!$C$6:$C$605,Z$5)</x:f>
        <x:v>3650.016381482293</x:v>
      </x:c>
      <x:c r="AA21" s="32" t="n">
        <x:f>SUMIFS('Loan schedule'!$F$6:$F$605,'Loan schedule'!$C$6:$C$605,AA$5)</x:f>
        <x:v>3200.5718063771187</x:v>
      </x:c>
      <x:c r="AB21" s="32" t="n">
        <x:f>SUMIFS('Loan schedule'!$F$6:$F$605,'Loan schedule'!$C$6:$C$605,AB$5)</x:f>
        <x:v>2716.235680864786</x:v>
      </x:c>
      <x:c r="AC21" s="32" t="n">
        <x:f>SUMIFS('Loan schedule'!$F$6:$F$605,'Loan schedule'!$C$6:$C$605,AC$5)</x:f>
        <x:v>2194.29928320907</x:v>
      </x:c>
      <x:c r="AD21" s="32" t="n">
        <x:f>SUMIFS('Loan schedule'!$F$6:$F$605,'Loan schedule'!$C$6:$C$605,AD$5)</x:f>
        <x:v>1631.8436065657852</x:v>
      </x:c>
      <x:c r="AE21" s="32" t="n">
        <x:f>SUMIFS('Loan schedule'!$F$6:$F$605,'Loan schedule'!$C$6:$C$605,AE$5)</x:f>
        <x:v>1025.723034003355</x:v>
      </x:c>
      <x:c r="AF21" s="32" t="n">
        <x:f>SUMIFS('Loan schedule'!$F$6:$F$605,'Loan schedule'!$C$6:$C$605,AF$5)</x:f>
        <x:v>372.5477461727969</x:v>
      </x:c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</x:row>
    <x:row r="23" ht="22" customHeight="1">
      <x:c r="A23" s="2"/>
      <x:c r="B23" s="34" t="str">
        <x:v>Annual cash flow</x:v>
      </x:c>
      <x:c r="C23" s="35" t="n">
        <x:f>C17-C18-C19</x:f>
        <x:v>3160.6041345374815</x:v>
      </x:c>
      <x:c r="D23" s="35" t="n">
        <x:f>D17-D18-D19</x:f>
        <x:v>3538.6041345374815</x:v>
      </x:c>
      <x:c r="E23" s="35" t="n">
        <x:f>E17-E18-E19</x:f>
        <x:v>3927.9441345374817</x:v>
      </x:c>
      <x:c r="F23" s="35" t="n">
        <x:f>F17-F18-F19</x:f>
        <x:v>4328.964334537484</x:v>
      </x:c>
      <x:c r="G23" s="35" t="n">
        <x:f>G17-G18-G19</x:f>
        <x:v>4742.01514053748</x:v>
      </x:c>
      <x:c r="H23" s="35" t="n">
        <x:f>H17-H18-H19</x:f>
        <x:v>5167.457470717485</x:v>
      </x:c>
      <x:c r="I23" s="35" t="n">
        <x:f>I17-I18-I19</x:f>
        <x:v>5605.663070802884</x:v>
      </x:c>
      <x:c r="J23" s="35" t="n">
        <x:f>J17-J18-J19</x:f>
        <x:v>6057.014838890847</x:v>
      </x:c>
      <x:c r="K23" s="35" t="n">
        <x:f>K17-K18-K19</x:f>
        <x:v>6521.907160021448</x:v>
      </x:c>
      <x:c r="L23" s="35" t="n">
        <x:f>L17-L18-L19</x:f>
        <x:v>7000.746250785973</x:v>
      </x:c>
      <x:c r="M23" s="35" t="n">
        <x:f>M17-M18-M19</x:f>
        <x:v>7493.950514273425</x:v>
      </x:c>
      <x:c r="N23" s="35" t="n">
        <x:f>N17-N18-N19</x:f>
        <x:v>8001.950905665499</x:v>
      </x:c>
      <x:c r="O23" s="35" t="n">
        <x:f>O17-O18-O19</x:f>
        <x:v>8525.191308799343</x:v>
      </x:c>
      <x:c r="P23" s="35" t="n">
        <x:f>P17-P18-P19</x:f>
        <x:v>9064.1289240272</x:v>
      </x:c>
      <x:c r="Q23" s="35" t="n">
        <x:f>Q17-Q18-Q19</x:f>
        <x:v>9619.23466771189</x:v>
      </x:c>
      <x:c r="R23" s="35" t="n">
        <x:f>R17-R18-R19</x:f>
        <x:v>10190.993583707119</x:v>
      </x:c>
      <x:c r="S23" s="35" t="n">
        <x:f>S17-S18-S19</x:f>
        <x:v>10779.905267182216</x:v>
      </x:c>
      <x:c r="T23" s="35" t="n">
        <x:f>T17-T18-T19</x:f>
        <x:v>11386.484301161554</x:v>
      </x:c>
      <x:c r="U23" s="35" t="n">
        <x:f>U17-U18-U19</x:f>
        <x:v>12011.260706160281</x:v>
      </x:c>
      <x:c r="V23" s="35" t="n">
        <x:f>V17-V18-V19</x:f>
        <x:v>12654.780403308958</x:v>
      </x:c>
      <x:c r="W23" s="35" t="n">
        <x:f>W17-W18-W19</x:f>
        <x:v>13317.605691372102</x:v>
      </x:c>
      <x:c r="X23" s="35" t="n">
        <x:f>X17-X18-X19</x:f>
        <x:v>14000.315738077143</x:v>
      </x:c>
      <x:c r="Y23" s="35" t="n">
        <x:f>Y17-Y18-Y19</x:f>
        <x:v>14703.50708618334</x:v>
      </x:c>
      <x:c r="Z23" s="35" t="n">
        <x:f>Z17-Z18-Z19</x:f>
        <x:v>15427.794174732715</x:v>
      </x:c>
      <x:c r="AA23" s="35" t="n">
        <x:f>AA17-AA18-AA19</x:f>
        <x:v>16173.80987593857</x:v>
      </x:c>
      <x:c r="AB23" s="35" t="n">
        <x:f>AB17-AB18-AB19</x:f>
        <x:v>16942.20604818061</x:v>
      </x:c>
      <x:c r="AC23" s="35" t="n">
        <x:f>AC17-AC18-AC19</x:f>
        <x:v>17733.6541055899</x:v>
      </x:c>
      <x:c r="AD23" s="35" t="n">
        <x:f>AD17-AD18-AD19</x:f>
        <x:v>18548.84560472148</x:v>
      </x:c>
      <x:c r="AE23" s="35" t="n">
        <x:f>AE17-AE18-AE19</x:f>
        <x:v>19388.492848826987</x:v>
      </x:c>
      <x:c r="AF23" s="35" t="n">
        <x:f>AF17-AF18-AF19</x:f>
        <x:v>20253.32951025568</x:v>
      </x:c>
    </x:row>
    <x:row r="24" ht="22" customHeight="1">
      <x:c r="A24" s="2"/>
      <x:c r="B24" s="7" t="str">
        <x:v>Average monthly cash flow</x:v>
      </x:c>
      <x:c r="C24" s="18" t="n">
        <x:f>C23/12</x:f>
        <x:v>263.3836778781235</x:v>
      </x:c>
      <x:c r="D24" s="18" t="n">
        <x:f>D23/12</x:f>
        <x:v>294.8836778781235</x:v>
      </x:c>
      <x:c r="E24" s="18" t="n">
        <x:f>E23/12</x:f>
        <x:v>327.3286778781235</x:v>
      </x:c>
      <x:c r="F24" s="18" t="n">
        <x:f>F23/12</x:f>
        <x:v>360.7470278781237</x:v>
      </x:c>
      <x:c r="G24" s="18" t="n">
        <x:f>G23/12</x:f>
        <x:v>395.16792837812335</x:v>
      </x:c>
      <x:c r="H24" s="18" t="n">
        <x:f>H23/12</x:f>
        <x:v>430.62145589312377</x:v>
      </x:c>
      <x:c r="I24" s="18" t="n">
        <x:f>I23/12</x:f>
        <x:v>467.13858923357367</x:v>
      </x:c>
      <x:c r="J24" s="18" t="n">
        <x:f>J23/12</x:f>
        <x:v>504.7512365742373</x:v>
      </x:c>
      <x:c r="K24" s="18" t="n">
        <x:f>K23/12</x:f>
        <x:v>543.4922633351207</x:v>
      </x:c>
      <x:c r="L24" s="18" t="n">
        <x:f>L23/12</x:f>
        <x:v>583.395520898831</x:v>
      </x:c>
      <x:c r="M24" s="18" t="n">
        <x:f>M23/12</x:f>
        <x:v>624.4958761894521</x:v>
      </x:c>
      <x:c r="N24" s="18" t="n">
        <x:f>N23/12</x:f>
        <x:v>666.8292421387915</x:v>
      </x:c>
      <x:c r="O24" s="18" t="n">
        <x:f>O23/12</x:f>
        <x:v>710.4326090666119</x:v>
      </x:c>
      <x:c r="P24" s="18" t="n">
        <x:f>P23/12</x:f>
        <x:v>755.3440770022667</x:v>
      </x:c>
      <x:c r="Q24" s="18" t="n">
        <x:f>Q23/12</x:f>
        <x:v>801.6028889759908</x:v>
      </x:c>
      <x:c r="R24" s="18" t="n">
        <x:f>R23/12</x:f>
        <x:v>849.2494653089266</x:v>
      </x:c>
      <x:c r="S24" s="18" t="n">
        <x:f>S23/12</x:f>
        <x:v>898.3254389318513</x:v>
      </x:c>
      <x:c r="T24" s="18" t="n">
        <x:f>T23/12</x:f>
        <x:v>948.8736917634628</x:v>
      </x:c>
      <x:c r="U24" s="18" t="n">
        <x:f>U23/12</x:f>
        <x:v>1000.9383921800235</x:v>
      </x:c>
      <x:c r="V24" s="18" t="n">
        <x:f>V23/12</x:f>
        <x:v>1054.5650336090798</x:v>
      </x:c>
      <x:c r="W24" s="18" t="n">
        <x:f>W23/12</x:f>
        <x:v>1109.8004742810085</x:v>
      </x:c>
      <x:c r="X24" s="18" t="n">
        <x:f>X23/12</x:f>
        <x:v>1166.6929781730953</x:v>
      </x:c>
      <x:c r="Y24" s="18" t="n">
        <x:f>Y23/12</x:f>
        <x:v>1225.292257181945</x:v>
      </x:c>
      <x:c r="Z24" s="18" t="n">
        <x:f>Z23/12</x:f>
        <x:v>1285.6495145610595</x:v>
      </x:c>
      <x:c r="AA24" s="18" t="n">
        <x:f>AA23/12</x:f>
        <x:v>1347.8174896615476</x:v>
      </x:c>
      <x:c r="AB24" s="18" t="n">
        <x:f>AB23/12</x:f>
        <x:v>1411.850504015051</x:v>
      </x:c>
      <x:c r="AC24" s="18" t="n">
        <x:f>AC23/12</x:f>
        <x:v>1477.8045087991584</x:v>
      </x:c>
      <x:c r="AD24" s="18" t="n">
        <x:f>AD23/12</x:f>
        <x:v>1545.7371337267898</x:v>
      </x:c>
      <x:c r="AE24" s="18" t="n">
        <x:f>AE23/12</x:f>
        <x:v>1615.707737402249</x:v>
      </x:c>
      <x:c r="AF24" s="18" t="n">
        <x:f>AF23/12</x:f>
        <x:v>1687.7774591879734</x:v>
      </x:c>
    </x:row>
    <x:row r="25" ht="22" customHeight="1">
      <x:c r="A25" s="2"/>
      <x:c r="B25" s="37" t="str">
        <x:v>Cash-on-cash return</x:v>
      </x:c>
      <x:c r="C25" s="38" t="n">
        <x:f>IF('Analysis'!$G$19&gt;0,C23/'Analysis'!$G$19,"n.a.")</x:f>
        <x:v>0.05907671279509311</x:v>
      </x:c>
      <x:c r="D25" s="38" t="n">
        <x:f>IF('Analysis'!$G$19&gt;0,D23/'Analysis'!$G$19,"n.a.")</x:f>
        <x:v>0.06614213335584078</x:v>
      </x:c>
      <x:c r="E25" s="38" t="n">
        <x:f>IF('Analysis'!$G$19&gt;0,E23/'Analysis'!$G$19,"n.a.")</x:f>
        <x:v>0.07341951653341088</x:v>
      </x:c>
      <x:c r="F25" s="38" t="n">
        <x:f>IF('Analysis'!$G$19&gt;0,F23/'Analysis'!$G$19,"n.a.")</x:f>
        <x:v>0.08091522120630812</x:v>
      </x:c>
      <x:c r="G25" s="38" t="n">
        <x:f>IF('Analysis'!$G$19&gt;0,G23/'Analysis'!$G$19,"n.a.")</x:f>
        <x:v>0.08863579701939214</x:v>
      </x:c>
      <x:c r="H25" s="38" t="n">
        <x:f>IF('Analysis'!$G$19&gt;0,H23/'Analysis'!$G$19,"n.a.")</x:f>
        <x:v>0.09658799010686889</x:v>
      </x:c>
      <x:c r="I25" s="38" t="n">
        <x:f>IF('Analysis'!$G$19&gt;0,I23/'Analysis'!$G$19,"n.a.")</x:f>
        <x:v>0.1047787489869698</x:v>
      </x:c>
      <x:c r="J25" s="38" t="n">
        <x:f>IF('Analysis'!$G$19&gt;0,J23/'Analysis'!$G$19,"n.a.")</x:f>
        <x:v>0.11321523063347379</x:v>
      </x:c>
      <x:c r="K25" s="38" t="n">
        <x:f>IF('Analysis'!$G$19&gt;0,K23/'Analysis'!$G$19,"n.a.")</x:f>
        <x:v>0.12190480672937287</x:v>
      </x:c>
      <x:c r="L25" s="38" t="n">
        <x:f>IF('Analysis'!$G$19&gt;0,L23/'Analysis'!$G$19,"n.a.")</x:f>
        <x:v>0.13085507010814904</x:v>
      </x:c>
      <x:c r="M25" s="38" t="n">
        <x:f>IF('Analysis'!$G$19&gt;0,M23/'Analysis'!$G$19,"n.a.")</x:f>
        <x:v>0.14007384138828832</x:v>
      </x:c>
      <x:c r="N25" s="38" t="n">
        <x:f>IF('Analysis'!$G$19&gt;0,N23/'Analysis'!$G$19,"n.a.")</x:f>
        <x:v>0.14956917580683177</x:v>
      </x:c>
      <x:c r="O25" s="38" t="n">
        <x:f>IF('Analysis'!$G$19&gt;0,O23/'Analysis'!$G$19,"n.a.")</x:f>
        <x:v>0.15934937025793167</x:v>
      </x:c>
      <x:c r="P25" s="38" t="n">
        <x:f>IF('Analysis'!$G$19&gt;0,P23/'Analysis'!$G$19,"n.a.")</x:f>
        <x:v>0.16942297054256447</x:v>
      </x:c>
      <x:c r="Q25" s="38" t="n">
        <x:f>IF('Analysis'!$G$19&gt;0,Q23/'Analysis'!$G$19,"n.a.")</x:f>
        <x:v>0.17979877883573625</x:v>
      </x:c>
      <x:c r="R25" s="38" t="n">
        <x:f>IF('Analysis'!$G$19&gt;0,R23/'Analysis'!$G$19,"n.a.")</x:f>
        <x:v>0.19048586137770315</x:v>
      </x:c>
      <x:c r="S25" s="38" t="n">
        <x:f>IF('Analysis'!$G$19&gt;0,S23/'Analysis'!$G$19,"n.a.")</x:f>
        <x:v>0.20149355639592925</x:v>
      </x:c>
      <x:c r="T25" s="38" t="n">
        <x:f>IF('Analysis'!$G$19&gt;0,T23/'Analysis'!$G$19,"n.a.")</x:f>
        <x:v>0.21283148226470194</x:v>
      </x:c>
      <x:c r="U25" s="38" t="n">
        <x:f>IF('Analysis'!$G$19&gt;0,U23/'Analysis'!$G$19,"n.a.")</x:f>
        <x:v>0.22450954590953798</x:v>
      </x:c>
      <x:c r="V25" s="38" t="n">
        <x:f>IF('Analysis'!$G$19&gt;0,V23/'Analysis'!$G$19,"n.a.")</x:f>
        <x:v>0.23653795146371884</x:v>
      </x:c>
      <x:c r="W25" s="38" t="n">
        <x:f>IF('Analysis'!$G$19&gt;0,W23/'Analysis'!$G$19,"n.a.")</x:f>
        <x:v>0.24892720918452527</x:v>
      </x:c>
      <x:c r="X25" s="38" t="n">
        <x:f>IF('Analysis'!$G$19&gt;0,X23/'Analysis'!$G$19,"n.a.")</x:f>
        <x:v>0.26168814463695594</x:v>
      </x:c>
      <x:c r="Y25" s="38" t="n">
        <x:f>IF('Analysis'!$G$19&gt;0,Y23/'Analysis'!$G$19,"n.a.")</x:f>
        <x:v>0.2748319081529596</x:v>
      </x:c>
      <x:c r="Z25" s="38" t="n">
        <x:f>IF('Analysis'!$G$19&gt;0,Z23/'Analysis'!$G$19,"n.a.")</x:f>
        <x:v>0.2883699845744433</x:v>
      </x:c>
      <x:c r="AA25" s="38" t="n">
        <x:f>IF('Analysis'!$G$19&gt;0,AA23/'Analysis'!$G$19,"n.a.")</x:f>
        <x:v>0.3023142032885714</x:v>
      </x:c>
      <x:c r="AB25" s="38" t="n">
        <x:f>IF('Analysis'!$G$19&gt;0,AB23/'Analysis'!$G$19,"n.a.")</x:f>
        <x:v>0.3166767485641236</x:v>
      </x:c>
      <x:c r="AC25" s="38" t="n">
        <x:f>IF('Analysis'!$G$19&gt;0,AC23/'Analysis'!$G$19,"n.a.")</x:f>
        <x:v>0.33147017019794206</x:v>
      </x:c>
      <x:c r="AD25" s="38" t="n">
        <x:f>IF('Analysis'!$G$19&gt;0,AD23/'Analysis'!$G$19,"n.a.")</x:f>
        <x:v>0.3467073944807753</x:v>
      </x:c>
      <x:c r="AE25" s="38" t="n">
        <x:f>IF('Analysis'!$G$19&gt;0,AE23/'Analysis'!$G$19,"n.a.")</x:f>
        <x:v>0.3624017354920932</x:v>
      </x:c>
      <x:c r="AF25" s="38" t="n">
        <x:f>IF('Analysis'!$G$19&gt;0,AF23/'Analysis'!$G$19,"n.a.")</x:f>
        <x:v>0.37856690673375104</x:v>
      </x:c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</x:row>
    <x:row r="27" ht="22" customHeight="1">
      <x:c r="A27" s="2"/>
      <x:c r="B27" s="24" t="str">
        <x:v>Year-end loan balance</x:v>
      </x:c>
      <x:c r="C27" s="25" t="n">
        <x:f>INDEX('Loan schedule'!$H$6:$H$605,C$5*12)</x:f>
        <x:v>111462.93626908046</x:v>
      </x:c>
      <x:c r="D27" s="25" t="n">
        <x:f>INDEX('Loan schedule'!$H$6:$H$605,D$5*12)</x:f>
        <x:v>110345.3625855503</x:v>
      </x:c>
      <x:c r="E27" s="25" t="n">
        <x:f>INDEX('Loan schedule'!$H$6:$H$605,E$5*12)</x:f>
        <x:v>109141.0287525546</x:v>
      </x:c>
      <x:c r="F27" s="25" t="n">
        <x:f>INDEX('Loan schedule'!$H$6:$H$605,F$5*12)</x:f>
        <x:v>107843.19935421317</x:v>
      </x:c>
      <x:c r="G27" s="25" t="n">
        <x:f>INDEX('Loan schedule'!$H$6:$H$605,G$5*12)</x:f>
        <x:v>106444.61608680672</x:v>
      </x:c>
      <x:c r="H27" s="25" t="n">
        <x:f>INDEX('Loan schedule'!$H$6:$H$605,H$5*12)</x:f>
        <x:v>104937.457165635</x:v>
      </x:c>
      <x:c r="I27" s="25" t="n">
        <x:f>INDEX('Loan schedule'!$H$6:$H$605,I$5*12)</x:f>
        <x:v>103313.29358052363</x:v>
      </x:c>
      <x:c r="J27" s="25" t="n">
        <x:f>INDEX('Loan schedule'!$H$6:$H$605,J$5*12)</x:f>
        <x:v>101563.04195533275</x:v>
      </x:c>
      <x:c r="K27" s="25" t="n">
        <x:f>INDEX('Loan schedule'!$H$6:$H$605,K$5*12)</x:f>
        <x:v>99676.91374782631</x:v>
      </x:c>
      <x:c r="L27" s="25" t="n">
        <x:f>INDEX('Loan schedule'!$H$6:$H$605,L$5*12)</x:f>
        <x:v>97644.36050579548</x:v>
      </x:c>
      <x:c r="M27" s="25" t="n">
        <x:f>INDEX('Loan schedule'!$H$6:$H$605,M$5*12)</x:f>
        <x:v>95454.01487327255</x:v>
      </x:c>
      <x:c r="N27" s="25" t="n">
        <x:f>INDEX('Loan schedule'!$H$6:$H$605,N$5*12)</x:f>
        <x:v>93093.62701690388</x:v>
      </x:c>
      <x:c r="O27" s="25" t="n">
        <x:f>INDEX('Loan schedule'!$H$6:$H$605,O$5*12)</x:f>
        <x:v>90549.99611693714</x:v>
      </x:c>
      <x:c r="P27" s="25" t="n">
        <x:f>INDEX('Loan schedule'!$H$6:$H$605,P$5*12)</x:f>
        <x:v>87808.89653967545</x:v>
      </x:c>
      <x:c r="Q27" s="25" t="n">
        <x:f>INDEX('Loan schedule'!$H$6:$H$605,Q$5*12)</x:f>
        <x:v>84854.99827850777</x:v>
      </x:c>
      <x:c r="R27" s="25" t="n">
        <x:f>INDEX('Loan schedule'!$H$6:$H$605,R$5*12)</x:f>
        <x:v>81671.78121856933</x:v>
      </x:c>
      <x:c r="S27" s="25" t="n">
        <x:f>INDEX('Loan schedule'!$H$6:$H$605,S$5*12)</x:f>
        <x:v>78241.44274554503</x:v>
      </x:c>
      <x:c r="T27" s="25" t="n">
        <x:f>INDEX('Loan schedule'!$H$6:$H$605,T$5*12)</x:f>
        <x:v>74544.79818190401</x:v>
      </x:c>
      <x:c r="U27" s="25" t="n">
        <x:f>INDEX('Loan schedule'!$H$6:$H$605,U$5*12)</x:f>
        <x:v>70561.1734937405</x:v>
      </x:c>
      <x:c r="V27" s="25" t="n">
        <x:f>INDEX('Loan schedule'!$H$6:$H$605,V$5*12)</x:f>
        <x:v>66268.2896681678</x:v>
      </x:c>
      <x:c r="W27" s="25" t="n">
        <x:f>INDEX('Loan schedule'!$H$6:$H$605,W$5*12)</x:f>
        <x:v>61642.138114628906</x:v>
      </x:c>
      <x:c r="X27" s="25" t="n">
        <x:f>INDEX('Loan schedule'!$H$6:$H$605,X$5*12)</x:f>
        <x:v>56656.84639328691</x:v>
      </x:c>
      <x:c r="Y27" s="25" t="n">
        <x:f>INDEX('Loan schedule'!$H$6:$H$605,Y$5*12)</x:f>
        <x:v>51284.533519561686</x:v>
      </x:c>
      <x:c r="Z27" s="25" t="n">
        <x:f>INDEX('Loan schedule'!$H$6:$H$605,Z$5*12)</x:f>
        <x:v>45495.154035581465</x:v>
      </x:c>
      <x:c r="AA27" s="25" t="n">
        <x:f>INDEX('Loan schedule'!$H$6:$H$605,AA$5*12)</x:f>
        <x:v>39256.32997649606</x:v>
      </x:c>
      <x:c r="AB27" s="25" t="n">
        <x:f>INDEX('Loan schedule'!$H$6:$H$605,AB$5*12)</x:f>
        <x:v>32533.169791898334</x:v>
      </x:c>
      <x:c r="AC27" s="25" t="n">
        <x:f>INDEX('Loan schedule'!$H$6:$H$605,AC$5*12)</x:f>
        <x:v>25288.073209644892</x:v>
      </x:c>
      <x:c r="AD27" s="25" t="n">
        <x:f>INDEX('Loan schedule'!$H$6:$H$605,AD$5*12)</x:f>
        <x:v>17480.520950748156</x:v>
      </x:c>
      <x:c r="AE27" s="25" t="n">
        <x:f>INDEX('Loan schedule'!$H$6:$H$605,AE$5*12)</x:f>
        <x:v>9066.848119288994</x:v>
      </x:c>
      <x:c r="AF27" s="25" t="n">
        <x:f>INDEX('Loan schedule'!$H$6:$H$605,AF$5*12)</x:f>
        <x:v>0</x:v>
      </x:c>
    </x:row>
    <x:row r="28" ht="22" customHeight="1">
      <x:c r="A28" s="2"/>
      <x:c r="B28" s="24" t="str">
        <x:v>Year-end property equity</x:v>
      </x:c>
      <x:c r="C28" s="25" t="n">
        <x:f>'Analysis'!$C$8-C27</x:f>
        <x:v>38537.063730919544</x:v>
      </x:c>
      <x:c r="D28" s="25" t="n">
        <x:f>'Analysis'!$C$8-D27</x:f>
        <x:v>39654.637414449695</x:v>
      </x:c>
      <x:c r="E28" s="25" t="n">
        <x:f>'Analysis'!$C$8-E27</x:f>
        <x:v>40858.9712474454</x:v>
      </x:c>
      <x:c r="F28" s="25" t="n">
        <x:f>'Analysis'!$C$8-F27</x:f>
        <x:v>42156.80064578683</x:v>
      </x:c>
      <x:c r="G28" s="25" t="n">
        <x:f>'Analysis'!$C$8-G27</x:f>
        <x:v>43555.38391319328</x:v>
      </x:c>
      <x:c r="H28" s="25" t="n">
        <x:f>'Analysis'!$C$8-H27</x:f>
        <x:v>45062.542834365</x:v>
      </x:c>
      <x:c r="I28" s="25" t="n">
        <x:f>'Analysis'!$C$8-I27</x:f>
        <x:v>46686.706419476366</x:v>
      </x:c>
      <x:c r="J28" s="25" t="n">
        <x:f>'Analysis'!$C$8-J27</x:f>
        <x:v>48436.95804466725</x:v>
      </x:c>
      <x:c r="K28" s="25" t="n">
        <x:f>'Analysis'!$C$8-K27</x:f>
        <x:v>50323.086252173685</x:v>
      </x:c>
      <x:c r="L28" s="25" t="n">
        <x:f>'Analysis'!$C$8-L27</x:f>
        <x:v>52355.639494204515</x:v>
      </x:c>
      <x:c r="M28" s="25" t="n">
        <x:f>'Analysis'!$C$8-M27</x:f>
        <x:v>54545.98512672745</x:v>
      </x:c>
      <x:c r="N28" s="25" t="n">
        <x:f>'Analysis'!$C$8-N27</x:f>
        <x:v>56906.372983096124</x:v>
      </x:c>
      <x:c r="O28" s="25" t="n">
        <x:f>'Analysis'!$C$8-O27</x:f>
        <x:v>59450.00388306286</x:v>
      </x:c>
      <x:c r="P28" s="25" t="n">
        <x:f>'Analysis'!$C$8-P27</x:f>
        <x:v>62191.10346032455</x:v>
      </x:c>
      <x:c r="Q28" s="25" t="n">
        <x:f>'Analysis'!$C$8-Q27</x:f>
        <x:v>65145.001721492226</x:v>
      </x:c>
      <x:c r="R28" s="25" t="n">
        <x:f>'Analysis'!$C$8-R27</x:f>
        <x:v>68328.21878143067</x:v>
      </x:c>
      <x:c r="S28" s="25" t="n">
        <x:f>'Analysis'!$C$8-S27</x:f>
        <x:v>71758.55725445497</x:v>
      </x:c>
      <x:c r="T28" s="25" t="n">
        <x:f>'Analysis'!$C$8-T27</x:f>
        <x:v>75455.20181809599</x:v>
      </x:c>
      <x:c r="U28" s="25" t="n">
        <x:f>'Analysis'!$C$8-U27</x:f>
        <x:v>79438.8265062595</x:v>
      </x:c>
      <x:c r="V28" s="25" t="n">
        <x:f>'Analysis'!$C$8-V27</x:f>
        <x:v>83731.7103318322</x:v>
      </x:c>
      <x:c r="W28" s="25" t="n">
        <x:f>'Analysis'!$C$8-W27</x:f>
        <x:v>88357.8618853711</x:v>
      </x:c>
      <x:c r="X28" s="25" t="n">
        <x:f>'Analysis'!$C$8-X27</x:f>
        <x:v>93343.15360671308</x:v>
      </x:c>
      <x:c r="Y28" s="25" t="n">
        <x:f>'Analysis'!$C$8-Y27</x:f>
        <x:v>98715.4664804383</x:v>
      </x:c>
      <x:c r="Z28" s="25" t="n">
        <x:f>'Analysis'!$C$8-Z27</x:f>
        <x:v>104504.84596441854</x:v>
      </x:c>
      <x:c r="AA28" s="25" t="n">
        <x:f>'Analysis'!$C$8-AA27</x:f>
        <x:v>110743.67002350395</x:v>
      </x:c>
      <x:c r="AB28" s="25" t="n">
        <x:f>'Analysis'!$C$8-AB27</x:f>
        <x:v>117466.83020810166</x:v>
      </x:c>
      <x:c r="AC28" s="25" t="n">
        <x:f>'Analysis'!$C$8-AC27</x:f>
        <x:v>124711.92679035511</x:v>
      </x:c>
      <x:c r="AD28" s="25" t="n">
        <x:f>'Analysis'!$C$8-AD27</x:f>
        <x:v>132519.47904925185</x:v>
      </x:c>
      <x:c r="AE28" s="25" t="n">
        <x:f>'Analysis'!$C$8-AE27</x:f>
        <x:v>140933.151880711</x:v>
      </x:c>
      <x:c r="AF28" s="25" t="n">
        <x:f>'Analysis'!$C$8-AF27</x:f>
        <x:v>150000</x:v>
      </x:c>
    </x:row>
    <x:row r="29" ht="22" customHeight="1">
      <x:c r="A29" s="2"/>
      <x:c r="B29" s="2" t="str">
        <x:v>Annual cash flow + principal</x:v>
      </x:c>
      <x:c r="C29" s="16" t="n">
        <x:f>SUM(C23,C20)</x:f>
        <x:v>4197.667865457023</x:v>
      </x:c>
      <x:c r="D29" s="16" t="n">
        <x:f>SUM(D23,D20)</x:f>
        <x:v>4656.177818067639</x:v>
      </x:c>
      <x:c r="E29" s="16" t="n">
        <x:f>SUM(E23,E20)</x:f>
        <x:v>5132.277967533193</x:v>
      </x:c>
      <x:c r="F29" s="16" t="n">
        <x:f>SUM(F23,F20)</x:f>
        <x:v>5626.7937328788985</x:v>
      </x:c>
      <x:c r="G29" s="16" t="n">
        <x:f>SUM(G23,G20)</x:f>
        <x:v>6140.598407943898</x:v>
      </x:c>
      <x:c r="H29" s="16" t="n">
        <x:f>SUM(H23,H20)</x:f>
        <x:v>6674.6163918892225</x:v>
      </x:c>
      <x:c r="I29" s="16" t="n">
        <x:f>SUM(I23,I20)</x:f>
        <x:v>7229.826655914236</x:v>
      </x:c>
      <x:c r="J29" s="16" t="n">
        <x:f>SUM(J23,J20)</x:f>
        <x:v>7807.266464081722</x:v>
      </x:c>
      <x:c r="K29" s="16" t="n">
        <x:f>SUM(K23,K20)</x:f>
        <x:v>8408.035367527884</x:v>
      </x:c>
      <x:c r="L29" s="16" t="n">
        <x:f>SUM(L23,L20)</x:f>
        <x:v>9033.2994928168</x:v>
      </x:c>
      <x:c r="M29" s="16" t="n">
        <x:f>SUM(M23,M20)</x:f>
        <x:v>9684.296146796358</x:v>
      </x:c>
      <x:c r="N29" s="16" t="n">
        <x:f>SUM(N23,N20)</x:f>
        <x:v>10362.338762034144</x:v>
      </x:c>
      <x:c r="O29" s="16" t="n">
        <x:f>SUM(O23,O20)</x:f>
        <x:v>11068.822208766103</x:v>
      </x:c>
      <x:c r="P29" s="16" t="n">
        <x:f>SUM(P23,P20)</x:f>
        <x:v>11805.228501288884</x:v>
      </x:c>
      <x:c r="Q29" s="16" t="n">
        <x:f>SUM(Q23,Q20)</x:f>
        <x:v>12573.132928879568</x:v>
      </x:c>
      <x:c r="R29" s="16" t="n">
        <x:f>SUM(R23,R20)</x:f>
        <x:v>13374.210643645554</x:v>
      </x:c>
      <x:c r="S29" s="16" t="n">
        <x:f>SUM(S23,S20)</x:f>
        <x:v>14210.243740206528</x:v>
      </x:c>
      <x:c r="T29" s="16" t="n">
        <x:f>SUM(T23,T20)</x:f>
        <x:v>15083.128864802573</x:v>
      </x:c>
      <x:c r="U29" s="16" t="n">
        <x:f>SUM(U23,U20)</x:f>
        <x:v>15994.88539432377</x:v>
      </x:c>
      <x:c r="V29" s="16" t="n">
        <x:f>SUM(V23,V20)</x:f>
        <x:v>16947.66422888163</x:v>
      </x:c>
      <x:c r="W29" s="16" t="n">
        <x:f>SUM(W23,W20)</x:f>
        <x:v>17943.757244910998</x:v>
      </x:c>
      <x:c r="X29" s="16" t="n">
        <x:f>SUM(X23,X20)</x:f>
        <x:v>18985.60745941913</x:v>
      </x:c>
      <x:c r="Y29" s="16" t="n">
        <x:f>SUM(Y23,Y20)</x:f>
        <x:v>20075.819959908564</x:v>
      </x:c>
      <x:c r="Z29" s="16" t="n">
        <x:f>SUM(Z23,Z20)</x:f>
        <x:v>21217.17365871294</x:v>
      </x:c>
      <x:c r="AA29" s="16" t="n">
        <x:f>SUM(AA23,AA20)</x:f>
        <x:v>22412.633935023972</x:v>
      </x:c>
      <x:c r="AB29" s="16" t="n">
        <x:f>SUM(AB23,AB20)</x:f>
        <x:v>23665.366232778346</x:v>
      </x:c>
      <x:c r="AC29" s="16" t="n">
        <x:f>SUM(AC23,AC20)</x:f>
        <x:v>24978.75068784335</x:v>
      </x:c>
      <x:c r="AD29" s="16" t="n">
        <x:f>SUM(AD23,AD20)</x:f>
        <x:v>26356.397863618215</x:v>
      </x:c>
      <x:c r="AE29" s="16" t="n">
        <x:f>SUM(AE23,AE20)</x:f>
        <x:v>27802.165680286154</x:v>
      </x:c>
      <x:c r="AF29" s="16" t="n">
        <x:f>SUM(AF23,AF20)</x:f>
        <x:v>29320.177629545404</x:v>
      </x:c>
    </x:row>
    <x:row r="30" ht="22" customHeight="1">
      <x:c r="A30" s="2"/>
      <x:c r="B30" s="39" t="str">
        <x:v>Cash flow + principal return</x:v>
      </x:c>
      <x:c r="C30" s="40" t="n">
        <x:f>IF('Analysis'!$G$19&gt;0,C29/'Analysis'!$G$19,"n.a.")</x:f>
        <x:v>0.07846108159732754</x:v>
      </x:c>
      <x:c r="D30" s="40" t="n">
        <x:f>IF('Analysis'!$G$19&gt;0,D29/'Analysis'!$G$19,"n.a.")</x:f>
        <x:v>0.08703136108537643</x:v>
      </x:c>
      <x:c r="E30" s="40" t="n">
        <x:f>IF('Analysis'!$G$19&gt;0,E29/'Analysis'!$G$19,"n.a.")</x:f>
        <x:v>0.09593042929968586</x:v>
      </x:c>
      <x:c r="F30" s="40" t="n">
        <x:f>IF('Analysis'!$G$19&gt;0,F29/'Analysis'!$G$19,"n.a.")</x:f>
        <x:v>0.10517371463325044</x:v>
      </x:c>
      <x:c r="G30" s="40" t="n">
        <x:f>IF('Analysis'!$G$19&gt;0,G29/'Analysis'!$G$19,"n.a.")</x:f>
        <x:v>0.11477754033539996</x:v>
      </x:c>
      <x:c r="H30" s="40" t="n">
        <x:f>IF('Analysis'!$G$19&gt;0,H29/'Analysis'!$G$19,"n.a.")</x:f>
        <x:v>0.12475918489512565</x:v>
      </x:c>
      <x:c r="I30" s="40" t="n">
        <x:f>IF('Analysis'!$G$19&gt;0,I29/'Analysis'!$G$19,"n.a.")</x:f>
        <x:v>0.13513694683951843</x:v>
      </x:c>
      <x:c r="J30" s="40" t="n">
        <x:f>IF('Analysis'!$G$19&gt;0,J29/'Analysis'!$G$19,"n.a.")</x:f>
        <x:v>0.14593021428190134</x:v>
      </x:c>
      <x:c r="K30" s="40" t="n">
        <x:f>IF('Analysis'!$G$19&gt;0,K29/'Analysis'!$G$19,"n.a.")</x:f>
        <x:v>0.15715953957996046</x:v>
      </x:c>
      <x:c r="L30" s="40" t="n">
        <x:f>IF('Analysis'!$G$19&gt;0,L29/'Analysis'!$G$19,"n.a.")</x:f>
        <x:v>0.16884671949190277</x:v>
      </x:c>
      <x:c r="M30" s="40" t="n">
        <x:f>IF('Analysis'!$G$19&gt;0,M29/'Analysis'!$G$19,"n.a.")</x:f>
        <x:v>0.18101488124853005</x:v>
      </x:c>
      <x:c r="N30" s="40" t="n">
        <x:f>IF('Analysis'!$G$19&gt;0,N29/'Analysis'!$G$19,"n.a.")</x:f>
        <x:v>0.1936885749912924</x:v>
      </x:c>
      <x:c r="O30" s="40" t="n">
        <x:f>IF('Analysis'!$G$19&gt;0,O29/'Analysis'!$G$19,"n.a.")</x:f>
        <x:v>0.20689387306104867</x:v>
      </x:c>
      <x:c r="P30" s="40" t="n">
        <x:f>IF('Analysis'!$G$19&gt;0,P29/'Analysis'!$G$19,"n.a.")</x:f>
        <x:v>0.2206584766596053</x:v>
      </x:c>
      <x:c r="Q30" s="40" t="n">
        <x:f>IF('Analysis'!$G$19&gt;0,Q29/'Analysis'!$G$19,"n.a.")</x:f>
        <x:v>0.23501183044634705</x:v>
      </x:c>
      <x:c r="R30" s="40" t="n">
        <x:f>IF('Analysis'!$G$19&gt;0,R29/'Analysis'!$G$19,"n.a.")</x:f>
        <x:v>0.24998524567561783</x:v>
      </x:c>
      <x:c r="S30" s="40" t="n">
        <x:f>IF('Analysis'!$G$19&gt;0,S29/'Analysis'!$G$19,"n.a.")</x:f>
        <x:v>0.2656120325272248</x:v>
      </x:c>
      <x:c r="T30" s="40" t="n">
        <x:f>IF('Analysis'!$G$19&gt;0,T29/'Analysis'!$G$19,"n.a.")</x:f>
        <x:v>0.28192764233275835</x:v>
      </x:c>
      <x:c r="U30" s="40" t="n">
        <x:f>IF('Analysis'!$G$19&gt;0,U29/'Analysis'!$G$19,"n.a.")</x:f>
        <x:v>0.2989698204546499</x:v>
      </x:c>
      <x:c r="V30" s="40" t="n">
        <x:f>IF('Analysis'!$G$19&gt;0,V29/'Analysis'!$G$19,"n.a.")</x:f>
        <x:v>0.31677877063330145</x:v>
      </x:c>
      <x:c r="W30" s="40" t="n">
        <x:f>IF('Analysis'!$G$19&gt;0,W29/'Analysis'!$G$19,"n.a.")</x:f>
        <x:v>0.3353973316805794</x:v>
      </x:c>
      <x:c r="X30" s="40" t="n">
        <x:f>IF('Analysis'!$G$19&gt;0,X29/'Analysis'!$G$19,"n.a.")</x:f>
        <x:v>0.3548711674657781</x:v>
      </x:c>
      <x:c r="Y30" s="40" t="n">
        <x:f>IF('Analysis'!$G$19&gt;0,Y29/'Analysis'!$G$19,"n.a.")</x:f>
        <x:v>0.3752489712132442</x:v>
      </x:c>
      <x:c r="Z30" s="40" t="n">
        <x:f>IF('Analysis'!$G$19&gt;0,Z29/'Analysis'!$G$19,"n.a.")</x:f>
        <x:v>0.39658268520958767</x:v>
      </x:c>
      <x:c r="AA30" s="40" t="n">
        <x:f>IF('Analysis'!$G$19&gt;0,AA29/'Analysis'!$G$19,"n.a.")</x:f>
        <x:v>0.4189277371032518</x:v>
      </x:c>
      <x:c r="AB30" s="40" t="n">
        <x:f>IF('Analysis'!$G$19&gt;0,AB29/'Analysis'!$G$19,"n.a.")</x:f>
        <x:v>0.4423432940706233</x:v>
      </x:c>
      <x:c r="AC30" s="40" t="n">
        <x:f>IF('Analysis'!$G$19&gt;0,AC29/'Analysis'!$G$19,"n.a.")</x:f>
        <x:v>0.466892536221371</x:v>
      </x:c>
      <x:c r="AD30" s="40" t="n">
        <x:f>IF('Analysis'!$G$19&gt;0,AD29/'Analysis'!$G$19,"n.a.")</x:f>
        <x:v>0.4926429507218358</x:v>
      </x:c>
      <x:c r="AE30" s="40" t="n">
        <x:f>IF('Analysis'!$G$19&gt;0,AE29/'Analysis'!$G$19,"n.a.")</x:f>
        <x:v>0.5196666482296477</x:v>
      </x:c>
      <x:c r="AF30" s="40" t="n">
        <x:f>IF('Analysis'!$G$19&gt;0,AF29/'Analysis'!$G$19,"n.a.")</x:f>
        <x:v>0.5480407033559889</x:v>
      </x:c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</x:row>
    <x:row r="32" ht="22" customHeight="1">
      <x:c r="A32" s="2"/>
      <x:c r="B32" s="2" t="str">
        <x:v>Cumulative cash flow</x:v>
      </x:c>
      <x:c r="C32" s="16" t="n">
        <x:f>SUM($C23:C23)</x:f>
        <x:v>3160.6041345374815</x:v>
      </x:c>
      <x:c r="D32" s="16" t="n">
        <x:f>SUM($C23:D23)</x:f>
        <x:v>6699.208269074963</x:v>
      </x:c>
      <x:c r="E32" s="16" t="n">
        <x:f>SUM($C23:E23)</x:f>
        <x:v>10627.152403612445</x:v>
      </x:c>
      <x:c r="F32" s="16" t="n">
        <x:f>SUM($C23:F23)</x:f>
        <x:v>14956.116738149929</x:v>
      </x:c>
      <x:c r="G32" s="16" t="n">
        <x:f>SUM($C23:G23)</x:f>
        <x:v>19698.13187868741</x:v>
      </x:c>
      <x:c r="H32" s="16" t="n">
        <x:f>SUM($C23:H23)</x:f>
        <x:v>24865.589349404894</x:v>
      </x:c>
      <x:c r="I32" s="16" t="n">
        <x:f>SUM($C23:I23)</x:f>
        <x:v>30471.252420207777</x:v>
      </x:c>
      <x:c r="J32" s="16" t="n">
        <x:f>SUM($C23:J23)</x:f>
        <x:v>36528.267259098626</x:v>
      </x:c>
      <x:c r="K32" s="16" t="n">
        <x:f>SUM($C23:K23)</x:f>
        <x:v>43050.17441912007</x:v>
      </x:c>
      <x:c r="L32" s="16" t="n">
        <x:f>SUM($C23:L23)</x:f>
        <x:v>50050.920669906045</x:v>
      </x:c>
      <x:c r="M32" s="16" t="n">
        <x:f>SUM($C23:M23)</x:f>
        <x:v>57544.87118417947</x:v>
      </x:c>
      <x:c r="N32" s="16" t="n">
        <x:f>SUM($C23:N23)</x:f>
        <x:v>65546.82208984497</x:v>
      </x:c>
      <x:c r="O32" s="16" t="n">
        <x:f>SUM($C23:O23)</x:f>
        <x:v>74072.01339864431</x:v>
      </x:c>
      <x:c r="P32" s="16" t="n">
        <x:f>SUM($C23:P23)</x:f>
        <x:v>83136.14232267151</x:v>
      </x:c>
      <x:c r="Q32" s="16" t="n">
        <x:f>SUM($C23:Q23)</x:f>
        <x:v>92755.3769903834</x:v>
      </x:c>
      <x:c r="R32" s="16" t="n">
        <x:f>SUM($C23:R23)</x:f>
        <x:v>102946.37057409053</x:v>
      </x:c>
      <x:c r="S32" s="16" t="n">
        <x:f>SUM($C23:S23)</x:f>
        <x:v>113726.27584127274</x:v>
      </x:c>
      <x:c r="T32" s="16" t="n">
        <x:f>SUM($C23:T23)</x:f>
        <x:v>125112.7601424343</x:v>
      </x:c>
      <x:c r="U32" s="16" t="n">
        <x:f>SUM($C23:U23)</x:f>
        <x:v>137124.02084859458</x:v>
      </x:c>
      <x:c r="V32" s="16" t="n">
        <x:f>SUM($C23:V23)</x:f>
        <x:v>149778.80125190353</x:v>
      </x:c>
      <x:c r="W32" s="16" t="n">
        <x:f>SUM($C23:W23)</x:f>
        <x:v>163096.40694327562</x:v>
      </x:c>
      <x:c r="X32" s="16" t="n">
        <x:f>SUM($C23:X23)</x:f>
        <x:v>177096.72268135275</x:v>
      </x:c>
      <x:c r="Y32" s="16" t="n">
        <x:f>SUM($C23:Y23)</x:f>
        <x:v>191800.2297675361</x:v>
      </x:c>
      <x:c r="Z32" s="16" t="n">
        <x:f>SUM($C23:Z23)</x:f>
        <x:v>207228.02394226883</x:v>
      </x:c>
      <x:c r="AA32" s="16" t="n">
        <x:f>SUM($C23:AA23)</x:f>
        <x:v>223401.8338182074</x:v>
      </x:c>
      <x:c r="AB32" s="16" t="n">
        <x:f>SUM($C23:AB23)</x:f>
        <x:v>240344.03986638802</x:v>
      </x:c>
      <x:c r="AC32" s="16" t="n">
        <x:f>SUM($C23:AC23)</x:f>
        <x:v>258077.69397197792</x:v>
      </x:c>
      <x:c r="AD32" s="16" t="n">
        <x:f>SUM($C23:AD23)</x:f>
        <x:v>276626.5395766994</x:v>
      </x:c>
      <x:c r="AE32" s="16" t="n">
        <x:f>SUM($C23:AE23)</x:f>
        <x:v>296015.03242552635</x:v>
      </x:c>
      <x:c r="AF32" s="16" t="n">
        <x:f>SUM($C23:AF23)</x:f>
        <x:v>316268.361935782</x:v>
      </x:c>
    </x:row>
    <x:row r="33" ht="22" customHeight="1">
      <x:c r="A33" s="2"/>
      <x:c r="B33" s="2" t="str">
        <x:v>Cumulative principal repaid</x:v>
      </x:c>
      <x:c r="C33" s="16" t="n">
        <x:f>SUM($C20:C20)</x:f>
        <x:v>1037.063730919542</x:v>
      </x:c>
      <x:c r="D33" s="16" t="n">
        <x:f>SUM($C20:D20)</x:f>
        <x:v>2154.6374144497</x:v>
      </x:c>
      <x:c r="E33" s="16" t="n">
        <x:f>SUM($C20:E20)</x:f>
        <x:v>3358.971247445412</x:v>
      </x:c>
      <x:c r="F33" s="16" t="n">
        <x:f>SUM($C20:F20)</x:f>
        <x:v>4656.800645786826</x:v>
      </x:c>
      <x:c r="G33" s="16" t="n">
        <x:f>SUM($C20:G20)</x:f>
        <x:v>6055.383913193244</x:v>
      </x:c>
      <x:c r="H33" s="16" t="n">
        <x:f>SUM($C20:H20)</x:f>
        <x:v>7562.542834364981</x:v>
      </x:c>
      <x:c r="I33" s="16" t="n">
        <x:f>SUM($C20:I20)</x:f>
        <x:v>9186.706419476333</x:v>
      </x:c>
      <x:c r="J33" s="16" t="n">
        <x:f>SUM($C20:J20)</x:f>
        <x:v>10936.958044667208</x:v>
      </x:c>
      <x:c r="K33" s="16" t="n">
        <x:f>SUM($C20:K20)</x:f>
        <x:v>12823.086252173644</x:v>
      </x:c>
      <x:c r="L33" s="16" t="n">
        <x:f>SUM($C20:L20)</x:f>
        <x:v>14855.63949420447</x:v>
      </x:c>
      <x:c r="M33" s="16" t="n">
        <x:f>SUM($C20:M20)</x:f>
        <x:v>17045.985126727403</x:v>
      </x:c>
      <x:c r="N33" s="16" t="n">
        <x:f>SUM($C20:N20)</x:f>
        <x:v>19406.372983096047</x:v>
      </x:c>
      <x:c r="O33" s="16" t="n">
        <x:f>SUM($C20:O20)</x:f>
        <x:v>21950.003883062807</x:v>
      </x:c>
      <x:c r="P33" s="16" t="n">
        <x:f>SUM($C20:P20)</x:f>
        <x:v>24691.10346032449</x:v>
      </x:c>
      <x:c r="Q33" s="16" t="n">
        <x:f>SUM($C20:Q20)</x:f>
        <x:v>27645.001721492168</x:v>
      </x:c>
      <x:c r="R33" s="16" t="n">
        <x:f>SUM($C20:R20)</x:f>
        <x:v>30828.218781430605</x:v>
      </x:c>
      <x:c r="S33" s="16" t="n">
        <x:f>SUM($C20:S20)</x:f>
        <x:v>34258.557254454914</x:v>
      </x:c>
      <x:c r="T33" s="16" t="n">
        <x:f>SUM($C20:T20)</x:f>
        <x:v>37955.201818095935</x:v>
      </x:c>
      <x:c r="U33" s="16" t="n">
        <x:f>SUM($C20:U20)</x:f>
        <x:v>41938.82650625942</x:v>
      </x:c>
      <x:c r="V33" s="16" t="n">
        <x:f>SUM($C20:V20)</x:f>
        <x:v>46231.71033183209</x:v>
      </x:c>
      <x:c r="W33" s="16" t="n">
        <x:f>SUM($C20:W20)</x:f>
        <x:v>50857.861885370985</x:v>
      </x:c>
      <x:c r="X33" s="16" t="n">
        <x:f>SUM($C20:X20)</x:f>
        <x:v>55843.15360671297</x:v>
      </x:c>
      <x:c r="Y33" s="16" t="n">
        <x:f>SUM($C20:Y20)</x:f>
        <x:v>61215.4664804382</x:v>
      </x:c>
      <x:c r="Z33" s="16" t="n">
        <x:f>SUM($C20:Z20)</x:f>
        <x:v>67004.84596441842</x:v>
      </x:c>
      <x:c r="AA33" s="16" t="n">
        <x:f>SUM($C20:AA20)</x:f>
        <x:v>73243.67002350382</x:v>
      </x:c>
      <x:c r="AB33" s="16" t="n">
        <x:f>SUM($C20:AB20)</x:f>
        <x:v>79966.83020810154</x:v>
      </x:c>
      <x:c r="AC33" s="16" t="n">
        <x:f>SUM($C20:AC20)</x:f>
        <x:v>87211.92679035499</x:v>
      </x:c>
      <x:c r="AD33" s="16" t="n">
        <x:f>SUM($C20:AD20)</x:f>
        <x:v>95019.47904925172</x:v>
      </x:c>
      <x:c r="AE33" s="16" t="n">
        <x:f>SUM($C20:AE20)</x:f>
        <x:v>103433.15188071088</x:v>
      </x:c>
      <x:c r="AF33" s="16" t="n">
        <x:f>SUM($C20:AF20)</x:f>
        <x:v>112500.0000000006</x:v>
      </x:c>
    </x:row>
    <x:row r="34" ht="22" customHeight="1">
      <x:c r="A34" s="2"/>
      <x:c r="B34" s="24" t="str">
        <x:v>Cumulative cash flow + principal</x:v>
      </x:c>
      <x:c r="C34" s="25" t="n">
        <x:f>SUM(C32:C33)</x:f>
        <x:v>4197.667865457023</x:v>
      </x:c>
      <x:c r="D34" s="25" t="n">
        <x:f>SUM(D32:D33)</x:f>
        <x:v>8853.845683524663</x:v>
      </x:c>
      <x:c r="E34" s="25" t="n">
        <x:f>SUM(E32:E33)</x:f>
        <x:v>13986.123651057856</x:v>
      </x:c>
      <x:c r="F34" s="25" t="n">
        <x:f>SUM(F32:F33)</x:f>
        <x:v>19612.917383936754</x:v>
      </x:c>
      <x:c r="G34" s="25" t="n">
        <x:f>SUM(G32:G33)</x:f>
        <x:v>25753.515791880654</x:v>
      </x:c>
      <x:c r="H34" s="25" t="n">
        <x:f>SUM(H32:H33)</x:f>
        <x:v>32428.132183769874</x:v>
      </x:c>
      <x:c r="I34" s="25" t="n">
        <x:f>SUM(I32:I33)</x:f>
        <x:v>39657.95883968411</x:v>
      </x:c>
      <x:c r="J34" s="25" t="n">
        <x:f>SUM(J32:J33)</x:f>
        <x:v>47465.22530376584</x:v>
      </x:c>
      <x:c r="K34" s="25" t="n">
        <x:f>SUM(K32:K33)</x:f>
        <x:v>55873.26067129371</x:v>
      </x:c>
      <x:c r="L34" s="25" t="n">
        <x:f>SUM(L32:L33)</x:f>
        <x:v>64906.56016411052</x:v>
      </x:c>
      <x:c r="M34" s="25" t="n">
        <x:f>SUM(M32:M33)</x:f>
        <x:v>74590.85631090688</x:v>
      </x:c>
      <x:c r="N34" s="25" t="n">
        <x:f>SUM(N32:N33)</x:f>
        <x:v>84953.19507294102</x:v>
      </x:c>
      <x:c r="O34" s="25" t="n">
        <x:f>SUM(O32:O33)</x:f>
        <x:v>96022.01728170711</x:v>
      </x:c>
      <x:c r="P34" s="25" t="n">
        <x:f>SUM(P32:P33)</x:f>
        <x:v>107827.245782996</x:v>
      </x:c>
      <x:c r="Q34" s="25" t="n">
        <x:f>SUM(Q32:Q33)</x:f>
        <x:v>120400.37871187557</x:v>
      </x:c>
      <x:c r="R34" s="25" t="n">
        <x:f>SUM(R32:R33)</x:f>
        <x:v>133774.58935552114</x:v>
      </x:c>
      <x:c r="S34" s="25" t="n">
        <x:f>SUM(S32:S33)</x:f>
        <x:v>147984.83309572766</x:v>
      </x:c>
      <x:c r="T34" s="25" t="n">
        <x:f>SUM(T32:T33)</x:f>
        <x:v>163067.96196053023</x:v>
      </x:c>
      <x:c r="U34" s="25" t="n">
        <x:f>SUM(U32:U33)</x:f>
        <x:v>179062.847354854</x:v>
      </x:c>
      <x:c r="V34" s="25" t="n">
        <x:f>SUM(V32:V33)</x:f>
        <x:v>196010.5115837356</x:v>
      </x:c>
      <x:c r="W34" s="25" t="n">
        <x:f>SUM(W32:W33)</x:f>
        <x:v>213954.2688286466</x:v>
      </x:c>
      <x:c r="X34" s="25" t="n">
        <x:f>SUM(X32:X33)</x:f>
        <x:v>232939.87628806572</x:v>
      </x:c>
      <x:c r="Y34" s="25" t="n">
        <x:f>SUM(Y32:Y33)</x:f>
        <x:v>253015.6962479743</x:v>
      </x:c>
      <x:c r="Z34" s="25" t="n">
        <x:f>SUM(Z32:Z33)</x:f>
        <x:v>274232.86990668724</x:v>
      </x:c>
      <x:c r="AA34" s="25" t="n">
        <x:f>SUM(AA32:AA33)</x:f>
        <x:v>296645.5038417112</x:v>
      </x:c>
      <x:c r="AB34" s="25" t="n">
        <x:f>SUM(AB32:AB33)</x:f>
        <x:v>320310.87007448956</x:v>
      </x:c>
      <x:c r="AC34" s="25" t="n">
        <x:f>SUM(AC32:AC33)</x:f>
        <x:v>345289.6207623329</x:v>
      </x:c>
      <x:c r="AD34" s="25" t="n">
        <x:f>SUM(AD32:AD33)</x:f>
        <x:v>371646.0186259511</x:v>
      </x:c>
      <x:c r="AE34" s="25" t="n">
        <x:f>SUM(AE32:AE33)</x:f>
        <x:v>399448.18430623726</x:v>
      </x:c>
      <x:c r="AF34" s="25" t="n">
        <x:f>SUM(AF32:AF33)</x:f>
        <x:v>428768.3619357826</x:v>
      </x:c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11" hidden="0" customWidth="1"/>
    <x:col min="3" max="3" width="11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2"/>
      <x:c r="B2" s="3" t="str">
        <x:v>Mortgage repayment</x:v>
      </x:c>
      <x:c r="C2" s="2"/>
      <x:c r="D2" s="2"/>
      <x:c r="E2" s="2"/>
      <x:c r="F2" s="2"/>
      <x:c r="G2" s="2"/>
      <x:c r="H2" s="2"/>
    </x:row>
    <x:row r="3" ht="22" customHeight="1">
      <x:c r="A3" s="2"/>
      <x:c r="B3" s="26" t="str">
        <x:v>Monthly principal &amp; interest only. Tax and insurance are separate in Annual cash flow.</x:v>
      </x:c>
      <x:c r="C3" s="2"/>
      <x:c r="D3" s="2"/>
      <x:c r="E3" s="2"/>
      <x:c r="F3" s="2"/>
      <x:c r="G3" s="2"/>
      <x:c r="H3" s="2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2"/>
      <x:c r="B5" s="30" t="str">
        <x:v>Month</x:v>
      </x:c>
      <x:c r="C5" s="30" t="str">
        <x:v>Year</x:v>
      </x:c>
      <x:c r="D5" s="30" t="str">
        <x:v>Opening balance</x:v>
      </x:c>
      <x:c r="E5" s="30" t="str">
        <x:v>Payment</x:v>
      </x:c>
      <x:c r="F5" s="30" t="str">
        <x:v>Interest</x:v>
      </x:c>
      <x:c r="G5" s="30" t="str">
        <x:v>Principal</x:v>
      </x:c>
      <x:c r="H5" s="30" t="str">
        <x:v>Closing balance</x:v>
      </x:c>
    </x:row>
    <x:row r="6" ht="22" customHeight="1">
      <x:c r="A6" s="2"/>
      <x:c r="B6" s="41" t="n">
        <x:f>1</x:f>
        <x:v>1</x:v>
      </x:c>
      <x:c r="C6" s="41" t="n">
        <x:f>ROUNDUP(B6/12,0)</x:f>
        <x:v>1</x:v>
      </x:c>
      <x:c r="D6" s="32" t="n">
        <x:f>'Analysis'!$G$21</x:f>
        <x:v>112500</x:v>
      </x:c>
      <x:c r="E6" s="32" t="n">
        <x:f>IF(B6&gt;'Analysis'!$C$13*12,0,'Analysis'!$G$22)</x:f>
        <x:v>786.6163221218766</x:v>
      </x:c>
      <x:c r="F6" s="32" t="n">
        <x:f>MAX(0,E6-G6)</x:f>
        <x:v>703.1250000000013</x:v>
      </x:c>
      <x:c r="G6" s="16" t="n">
        <x:f>IF(OR('Analysis'!$G$21=0,B6&gt;'Analysis'!$C$13*12),0,IF('Analysis'!$C$12=0,'Analysis'!$G$21/('Analysis'!$C$13*12),'Analysis'!$G$21*(1+'Analysis'!$C$12/12)^-('Analysis'!$C$13*12-B6)*(1-(1+'Analysis'!$C$12/12)^-1)/(1-(1+'Analysis'!$C$12/12)^-('Analysis'!$C$13*12))))</x:f>
        <x:v>83.4913221218753</x:v>
      </x:c>
      <x:c r="H6" s="16" t="n">
        <x:f>IF(B6&gt;='Analysis'!$C$13*12,0,MAX(0,D6-G6))</x:f>
        <x:v>112416.50867787813</x:v>
      </x:c>
    </x:row>
    <x:row r="7" ht="22" customHeight="1">
      <x:c r="A7" s="2"/>
      <x:c r="B7" s="41" t="n">
        <x:f>2</x:f>
        <x:v>2</x:v>
      </x:c>
      <x:c r="C7" s="41" t="n">
        <x:f>ROUNDUP(B7/12,0)</x:f>
        <x:v>1</x:v>
      </x:c>
      <x:c r="D7" s="16" t="n">
        <x:f>H6</x:f>
        <x:v>112416.50867787813</x:v>
      </x:c>
      <x:c r="E7" s="32" t="n">
        <x:f>IF(B7&gt;'Analysis'!$C$13*12,0,'Analysis'!$G$22)</x:f>
        <x:v>786.6163221218766</x:v>
      </x:c>
      <x:c r="F7" s="32" t="n">
        <x:f>MAX(0,E7-G7)</x:f>
        <x:v>702.6031792367396</x:v>
      </x:c>
      <x:c r="G7" s="16" t="n">
        <x:f>IF(OR('Analysis'!$G$21=0,B7&gt;'Analysis'!$C$13*12),0,IF('Analysis'!$C$12=0,'Analysis'!$G$21/('Analysis'!$C$13*12),'Analysis'!$G$21*(1+'Analysis'!$C$12/12)^-('Analysis'!$C$13*12-B7)*(1-(1+'Analysis'!$C$12/12)^-1)/(1-(1+'Analysis'!$C$12/12)^-('Analysis'!$C$13*12))))</x:f>
        <x:v>84.01314288513703</x:v>
      </x:c>
      <x:c r="H7" s="16" t="n">
        <x:f>IF(B7&gt;='Analysis'!$C$13*12,0,MAX(0,D7-G7))</x:f>
        <x:v>112332.495534993</x:v>
      </x:c>
    </x:row>
    <x:row r="8" ht="22" customHeight="1">
      <x:c r="A8" s="2"/>
      <x:c r="B8" s="41" t="n">
        <x:f>3</x:f>
        <x:v>3</x:v>
      </x:c>
      <x:c r="C8" s="41" t="n">
        <x:f>ROUNDUP(B8/12,0)</x:f>
        <x:v>1</x:v>
      </x:c>
      <x:c r="D8" s="16" t="n">
        <x:f>H7</x:f>
        <x:v>112332.495534993</x:v>
      </x:c>
      <x:c r="E8" s="32" t="n">
        <x:f>IF(B8&gt;'Analysis'!$C$13*12,0,'Analysis'!$G$22)</x:f>
        <x:v>786.6163221218766</x:v>
      </x:c>
      <x:c r="F8" s="32" t="n">
        <x:f>MAX(0,E8-G8)</x:f>
        <x:v>702.0780970937075</x:v>
      </x:c>
      <x:c r="G8" s="16" t="n">
        <x:f>IF(OR('Analysis'!$G$21=0,B8&gt;'Analysis'!$C$13*12),0,IF('Analysis'!$C$12=0,'Analysis'!$G$21/('Analysis'!$C$13*12),'Analysis'!$G$21*(1+'Analysis'!$C$12/12)^-('Analysis'!$C$13*12-B8)*(1-(1+'Analysis'!$C$12/12)^-1)/(1-(1+'Analysis'!$C$12/12)^-('Analysis'!$C$13*12))))</x:f>
        <x:v>84.53822502816915</x:v>
      </x:c>
      <x:c r="H8" s="16" t="n">
        <x:f>IF(B8&gt;='Analysis'!$C$13*12,0,MAX(0,D8-G8))</x:f>
        <x:v>112247.95730996483</x:v>
      </x:c>
    </x:row>
    <x:row r="9" ht="22" customHeight="1">
      <x:c r="A9" s="2"/>
      <x:c r="B9" s="41" t="n">
        <x:f>4</x:f>
        <x:v>4</x:v>
      </x:c>
      <x:c r="C9" s="41" t="n">
        <x:f>ROUNDUP(B9/12,0)</x:f>
        <x:v>1</x:v>
      </x:c>
      <x:c r="D9" s="16" t="n">
        <x:f>H8</x:f>
        <x:v>112247.95730996483</x:v>
      </x:c>
      <x:c r="E9" s="32" t="n">
        <x:f>IF(B9&gt;'Analysis'!$C$13*12,0,'Analysis'!$G$22)</x:f>
        <x:v>786.6163221218766</x:v>
      </x:c>
      <x:c r="F9" s="32" t="n">
        <x:f>MAX(0,E9-G9)</x:f>
        <x:v>701.5497331872814</x:v>
      </x:c>
      <x:c r="G9" s="16" t="n">
        <x:f>IF(OR('Analysis'!$G$21=0,B9&gt;'Analysis'!$C$13*12),0,IF('Analysis'!$C$12=0,'Analysis'!$G$21/('Analysis'!$C$13*12),'Analysis'!$G$21*(1+'Analysis'!$C$12/12)^-('Analysis'!$C$13*12-B9)*(1-(1+'Analysis'!$C$12/12)^-1)/(1-(1+'Analysis'!$C$12/12)^-('Analysis'!$C$13*12))))</x:f>
        <x:v>85.06658893459522</x:v>
      </x:c>
      <x:c r="H9" s="16" t="n">
        <x:f>IF(B9&gt;='Analysis'!$C$13*12,0,MAX(0,D9-G9))</x:f>
        <x:v>112162.89072103023</x:v>
      </x:c>
    </x:row>
    <x:row r="10" ht="22" customHeight="1">
      <x:c r="A10" s="2"/>
      <x:c r="B10" s="41" t="n">
        <x:f>5</x:f>
        <x:v>5</x:v>
      </x:c>
      <x:c r="C10" s="41" t="n">
        <x:f>ROUNDUP(B10/12,0)</x:f>
        <x:v>1</x:v>
      </x:c>
      <x:c r="D10" s="16" t="n">
        <x:f>H9</x:f>
        <x:v>112162.89072103023</x:v>
      </x:c>
      <x:c r="E10" s="32" t="n">
        <x:f>IF(B10&gt;'Analysis'!$C$13*12,0,'Analysis'!$G$22)</x:f>
        <x:v>786.6163221218766</x:v>
      </x:c>
      <x:c r="F10" s="32" t="n">
        <x:f>MAX(0,E10-G10)</x:f>
        <x:v>701.0180670064401</x:v>
      </x:c>
      <x:c r="G10" s="16" t="n">
        <x:f>IF(OR('Analysis'!$G$21=0,B10&gt;'Analysis'!$C$13*12),0,IF('Analysis'!$C$12=0,'Analysis'!$G$21/('Analysis'!$C$13*12),'Analysis'!$G$21*(1+'Analysis'!$C$12/12)^-('Analysis'!$C$13*12-B10)*(1-(1+'Analysis'!$C$12/12)^-1)/(1-(1+'Analysis'!$C$12/12)^-('Analysis'!$C$13*12))))</x:f>
        <x:v>85.59825511543643</x:v>
      </x:c>
      <x:c r="H10" s="16" t="n">
        <x:f>IF(B10&gt;='Analysis'!$C$13*12,0,MAX(0,D10-G10))</x:f>
        <x:v>112077.2924659148</x:v>
      </x:c>
    </x:row>
    <x:row r="11" ht="22" customHeight="1">
      <x:c r="A11" s="2"/>
      <x:c r="B11" s="41" t="n">
        <x:f>6</x:f>
        <x:v>6</x:v>
      </x:c>
      <x:c r="C11" s="41" t="n">
        <x:f>ROUNDUP(B11/12,0)</x:f>
        <x:v>1</x:v>
      </x:c>
      <x:c r="D11" s="16" t="n">
        <x:f>H10</x:f>
        <x:v>112077.2924659148</x:v>
      </x:c>
      <x:c r="E11" s="32" t="n">
        <x:f>IF(B11&gt;'Analysis'!$C$13*12,0,'Analysis'!$G$22)</x:f>
        <x:v>786.6163221218766</x:v>
      </x:c>
      <x:c r="F11" s="32" t="n">
        <x:f>MAX(0,E11-G11)</x:f>
        <x:v>700.4830779119686</x:v>
      </x:c>
      <x:c r="G11" s="16" t="n">
        <x:f>IF(OR('Analysis'!$G$21=0,B11&gt;'Analysis'!$C$13*12),0,IF('Analysis'!$C$12=0,'Analysis'!$G$21/('Analysis'!$C$13*12),'Analysis'!$G$21*(1+'Analysis'!$C$12/12)^-('Analysis'!$C$13*12-B11)*(1-(1+'Analysis'!$C$12/12)^-1)/(1-(1+'Analysis'!$C$12/12)^-('Analysis'!$C$13*12))))</x:f>
        <x:v>86.13324420990793</x:v>
      </x:c>
      <x:c r="H11" s="16" t="n">
        <x:f>IF(B11&gt;='Analysis'!$C$13*12,0,MAX(0,D11-G11))</x:f>
        <x:v>111991.15922170489</x:v>
      </x:c>
    </x:row>
    <x:row r="12" ht="22" customHeight="1">
      <x:c r="A12" s="2"/>
      <x:c r="B12" s="41" t="n">
        <x:f>7</x:f>
        <x:v>7</x:v>
      </x:c>
      <x:c r="C12" s="41" t="n">
        <x:f>ROUNDUP(B12/12,0)</x:f>
        <x:v>1</x:v>
      </x:c>
      <x:c r="D12" s="16" t="n">
        <x:f>H11</x:f>
        <x:v>111991.15922170489</x:v>
      </x:c>
      <x:c r="E12" s="32" t="n">
        <x:f>IF(B12&gt;'Analysis'!$C$13*12,0,'Analysis'!$G$22)</x:f>
        <x:v>786.6163221218766</x:v>
      </x:c>
      <x:c r="F12" s="32" t="n">
        <x:f>MAX(0,E12-G12)</x:f>
        <x:v>699.9447451356567</x:v>
      </x:c>
      <x:c r="G12" s="16" t="n">
        <x:f>IF(OR('Analysis'!$G$21=0,B12&gt;'Analysis'!$C$13*12),0,IF('Analysis'!$C$12=0,'Analysis'!$G$21/('Analysis'!$C$13*12),'Analysis'!$G$21*(1+'Analysis'!$C$12/12)^-('Analysis'!$C$13*12-B12)*(1-(1+'Analysis'!$C$12/12)^-1)/(1-(1+'Analysis'!$C$12/12)^-('Analysis'!$C$13*12))))</x:f>
        <x:v>86.67157698621985</x:v>
      </x:c>
      <x:c r="H12" s="16" t="n">
        <x:f>IF(B12&gt;='Analysis'!$C$13*12,0,MAX(0,D12-G12))</x:f>
        <x:v>111904.48764471867</x:v>
      </x:c>
    </x:row>
    <x:row r="13" ht="22" customHeight="1">
      <x:c r="A13" s="2"/>
      <x:c r="B13" s="41" t="n">
        <x:f>8</x:f>
        <x:v>8</x:v>
      </x:c>
      <x:c r="C13" s="41" t="n">
        <x:f>ROUNDUP(B13/12,0)</x:f>
        <x:v>1</x:v>
      </x:c>
      <x:c r="D13" s="16" t="n">
        <x:f>H12</x:f>
        <x:v>111904.48764471867</x:v>
      </x:c>
      <x:c r="E13" s="32" t="n">
        <x:f>IF(B13&gt;'Analysis'!$C$13*12,0,'Analysis'!$G$22)</x:f>
        <x:v>786.6163221218766</x:v>
      </x:c>
      <x:c r="F13" s="32" t="n">
        <x:f>MAX(0,E13-G13)</x:f>
        <x:v>699.4030477794929</x:v>
      </x:c>
      <x:c r="G13" s="16" t="n">
        <x:f>IF(OR('Analysis'!$G$21=0,B13&gt;'Analysis'!$C$13*12),0,IF('Analysis'!$C$12=0,'Analysis'!$G$21/('Analysis'!$C$13*12),'Analysis'!$G$21*(1+'Analysis'!$C$12/12)^-('Analysis'!$C$13*12-B13)*(1-(1+'Analysis'!$C$12/12)^-1)/(1-(1+'Analysis'!$C$12/12)^-('Analysis'!$C$13*12))))</x:f>
        <x:v>87.21327434238373</x:v>
      </x:c>
      <x:c r="H13" s="16" t="n">
        <x:f>IF(B13&gt;='Analysis'!$C$13*12,0,MAX(0,D13-G13))</x:f>
        <x:v>111817.27437037628</x:v>
      </x:c>
    </x:row>
    <x:row r="14" ht="22" customHeight="1">
      <x:c r="A14" s="2"/>
      <x:c r="B14" s="41" t="n">
        <x:f>9</x:f>
        <x:v>9</x:v>
      </x:c>
      <x:c r="C14" s="41" t="n">
        <x:f>ROUNDUP(B14/12,0)</x:f>
        <x:v>1</x:v>
      </x:c>
      <x:c r="D14" s="16" t="n">
        <x:f>H13</x:f>
        <x:v>111817.27437037628</x:v>
      </x:c>
      <x:c r="E14" s="32" t="n">
        <x:f>IF(B14&gt;'Analysis'!$C$13*12,0,'Analysis'!$G$22)</x:f>
        <x:v>786.6163221218766</x:v>
      </x:c>
      <x:c r="F14" s="32" t="n">
        <x:f>MAX(0,E14-G14)</x:f>
        <x:v>698.857964814853</x:v>
      </x:c>
      <x:c r="G14" s="16" t="n">
        <x:f>IF(OR('Analysis'!$G$21=0,B14&gt;'Analysis'!$C$13*12),0,IF('Analysis'!$C$12=0,'Analysis'!$G$21/('Analysis'!$C$13*12),'Analysis'!$G$21*(1+'Analysis'!$C$12/12)^-('Analysis'!$C$13*12-B14)*(1-(1+'Analysis'!$C$12/12)^-1)/(1-(1+'Analysis'!$C$12/12)^-('Analysis'!$C$13*12))))</x:f>
        <x:v>87.75835730702364</x:v>
      </x:c>
      <x:c r="H14" s="16" t="n">
        <x:f>IF(B14&gt;='Analysis'!$C$13*12,0,MAX(0,D14-G14))</x:f>
        <x:v>111729.51601306925</x:v>
      </x:c>
    </x:row>
    <x:row r="15" ht="22" customHeight="1">
      <x:c r="A15" s="2"/>
      <x:c r="B15" s="41" t="n">
        <x:f>10</x:f>
        <x:v>10</x:v>
      </x:c>
      <x:c r="C15" s="41" t="n">
        <x:f>ROUNDUP(B15/12,0)</x:f>
        <x:v>1</x:v>
      </x:c>
      <x:c r="D15" s="16" t="n">
        <x:f>H14</x:f>
        <x:v>111729.51601306925</x:v>
      </x:c>
      <x:c r="E15" s="32" t="n">
        <x:f>IF(B15&gt;'Analysis'!$C$13*12,0,'Analysis'!$G$22)</x:f>
        <x:v>786.6163221218766</x:v>
      </x:c>
      <x:c r="F15" s="32" t="n">
        <x:f>MAX(0,E15-G15)</x:f>
        <x:v>698.309475081684</x:v>
      </x:c>
      <x:c r="G15" s="16" t="n">
        <x:f>IF(OR('Analysis'!$G$21=0,B15&gt;'Analysis'!$C$13*12),0,IF('Analysis'!$C$12=0,'Analysis'!$G$21/('Analysis'!$C$13*12),'Analysis'!$G$21*(1+'Analysis'!$C$12/12)^-('Analysis'!$C$13*12-B15)*(1-(1+'Analysis'!$C$12/12)^-1)/(1-(1+'Analysis'!$C$12/12)^-('Analysis'!$C$13*12))))</x:f>
        <x:v>88.30684704019254</x:v>
      </x:c>
      <x:c r="H15" s="16" t="n">
        <x:f>IF(B15&gt;='Analysis'!$C$13*12,0,MAX(0,D15-G15))</x:f>
        <x:v>111641.20916602906</x:v>
      </x:c>
    </x:row>
    <x:row r="16" ht="22" customHeight="1">
      <x:c r="A16" s="2"/>
      <x:c r="B16" s="41" t="n">
        <x:f>11</x:f>
        <x:v>11</x:v>
      </x:c>
      <x:c r="C16" s="41" t="n">
        <x:f>ROUNDUP(B16/12,0)</x:f>
        <x:v>1</x:v>
      </x:c>
      <x:c r="D16" s="16" t="n">
        <x:f>H15</x:f>
        <x:v>111641.20916602906</x:v>
      </x:c>
      <x:c r="E16" s="32" t="n">
        <x:f>IF(B16&gt;'Analysis'!$C$13*12,0,'Analysis'!$G$22)</x:f>
        <x:v>786.6163221218766</x:v>
      </x:c>
      <x:c r="F16" s="32" t="n">
        <x:f>MAX(0,E16-G16)</x:f>
        <x:v>697.7575572876829</x:v>
      </x:c>
      <x:c r="G16" s="16" t="n">
        <x:f>IF(OR('Analysis'!$G$21=0,B16&gt;'Analysis'!$C$13*12),0,IF('Analysis'!$C$12=0,'Analysis'!$G$21/('Analysis'!$C$13*12),'Analysis'!$G$21*(1+'Analysis'!$C$12/12)^-('Analysis'!$C$13*12-B16)*(1-(1+'Analysis'!$C$12/12)^-1)/(1-(1+'Analysis'!$C$12/12)^-('Analysis'!$C$13*12))))</x:f>
        <x:v>88.85876483419376</x:v>
      </x:c>
      <x:c r="H16" s="16" t="n">
        <x:f>IF(B16&gt;='Analysis'!$C$13*12,0,MAX(0,D16-G16))</x:f>
        <x:v>111552.35040119487</x:v>
      </x:c>
    </x:row>
    <x:row r="17" ht="22" customHeight="1">
      <x:c r="A17" s="2"/>
      <x:c r="B17" s="41" t="n">
        <x:f>12</x:f>
        <x:v>12</x:v>
      </x:c>
      <x:c r="C17" s="41" t="n">
        <x:f>ROUNDUP(B17/12,0)</x:f>
        <x:v>1</x:v>
      </x:c>
      <x:c r="D17" s="16" t="n">
        <x:f>H16</x:f>
        <x:v>111552.35040119487</x:v>
      </x:c>
      <x:c r="E17" s="32" t="n">
        <x:f>IF(B17&gt;'Analysis'!$C$13*12,0,'Analysis'!$G$22)</x:f>
        <x:v>786.6163221218766</x:v>
      </x:c>
      <x:c r="F17" s="32" t="n">
        <x:f>MAX(0,E17-G17)</x:f>
        <x:v>697.2021900074691</x:v>
      </x:c>
      <x:c r="G17" s="16" t="n">
        <x:f>IF(OR('Analysis'!$G$21=0,B17&gt;'Analysis'!$C$13*12),0,IF('Analysis'!$C$12=0,'Analysis'!$G$21/('Analysis'!$C$13*12),'Analysis'!$G$21*(1+'Analysis'!$C$12/12)^-('Analysis'!$C$13*12-B17)*(1-(1+'Analysis'!$C$12/12)^-1)/(1-(1+'Analysis'!$C$12/12)^-('Analysis'!$C$13*12))))</x:f>
        <x:v>89.41413211440748</x:v>
      </x:c>
      <x:c r="H17" s="16" t="n">
        <x:f>IF(B17&gt;='Analysis'!$C$13*12,0,MAX(0,D17-G17))</x:f>
        <x:v>111462.93626908046</x:v>
      </x:c>
    </x:row>
    <x:row r="18" ht="22" customHeight="1">
      <x:c r="A18" s="2"/>
      <x:c r="B18" s="41" t="n">
        <x:f>13</x:f>
        <x:v>13</x:v>
      </x:c>
      <x:c r="C18" s="41" t="n">
        <x:f>ROUNDUP(B18/12,0)</x:f>
        <x:v>2</x:v>
      </x:c>
      <x:c r="D18" s="16" t="n">
        <x:f>H17</x:f>
        <x:v>111462.93626908046</x:v>
      </x:c>
      <x:c r="E18" s="32" t="n">
        <x:f>IF(B18&gt;'Analysis'!$C$13*12,0,'Analysis'!$G$22)</x:f>
        <x:v>786.6163221218766</x:v>
      </x:c>
      <x:c r="F18" s="32" t="n">
        <x:f>MAX(0,E18-G18)</x:f>
        <x:v>696.6433516817541</x:v>
      </x:c>
      <x:c r="G18" s="16" t="n">
        <x:f>IF(OR('Analysis'!$G$21=0,B18&gt;'Analysis'!$C$13*12),0,IF('Analysis'!$C$12=0,'Analysis'!$G$21/('Analysis'!$C$13*12),'Analysis'!$G$21*(1+'Analysis'!$C$12/12)^-('Analysis'!$C$13*12-B18)*(1-(1+'Analysis'!$C$12/12)^-1)/(1-(1+'Analysis'!$C$12/12)^-('Analysis'!$C$13*12))))</x:f>
        <x:v>89.97297044012252</x:v>
      </x:c>
      <x:c r="H18" s="16" t="n">
        <x:f>IF(B18&gt;='Analysis'!$C$13*12,0,MAX(0,D18-G18))</x:f>
        <x:v>111372.96329864033</x:v>
      </x:c>
    </x:row>
    <x:row r="19" ht="22" customHeight="1">
      <x:c r="A19" s="2"/>
      <x:c r="B19" s="41" t="n">
        <x:f>14</x:f>
        <x:v>14</x:v>
      </x:c>
      <x:c r="C19" s="41" t="n">
        <x:f>ROUNDUP(B19/12,0)</x:f>
        <x:v>2</x:v>
      </x:c>
      <x:c r="D19" s="16" t="n">
        <x:f>H18</x:f>
        <x:v>111372.96329864033</x:v>
      </x:c>
      <x:c r="E19" s="32" t="n">
        <x:f>IF(B19&gt;'Analysis'!$C$13*12,0,'Analysis'!$G$22)</x:f>
        <x:v>786.6163221218766</x:v>
      </x:c>
      <x:c r="F19" s="32" t="n">
        <x:f>MAX(0,E19-G19)</x:f>
        <x:v>696.0810206165033</x:v>
      </x:c>
      <x:c r="G19" s="16" t="n">
        <x:f>IF(OR('Analysis'!$G$21=0,B19&gt;'Analysis'!$C$13*12),0,IF('Analysis'!$C$12=0,'Analysis'!$G$21/('Analysis'!$C$13*12),'Analysis'!$G$21*(1+'Analysis'!$C$12/12)^-('Analysis'!$C$13*12-B19)*(1-(1+'Analysis'!$C$12/12)^-1)/(1-(1+'Analysis'!$C$12/12)^-('Analysis'!$C$13*12))))</x:f>
        <x:v>90.5353015053733</x:v>
      </x:c>
      <x:c r="H19" s="16" t="n">
        <x:f>IF(B19&gt;='Analysis'!$C$13*12,0,MAX(0,D19-G19))</x:f>
        <x:v>111282.42799713496</x:v>
      </x:c>
    </x:row>
    <x:row r="20" ht="22" customHeight="1">
      <x:c r="A20" s="2"/>
      <x:c r="B20" s="41" t="n">
        <x:f>15</x:f>
        <x:v>15</x:v>
      </x:c>
      <x:c r="C20" s="41" t="n">
        <x:f>ROUNDUP(B20/12,0)</x:f>
        <x:v>2</x:v>
      </x:c>
      <x:c r="D20" s="16" t="n">
        <x:f>H19</x:f>
        <x:v>111282.42799713496</x:v>
      </x:c>
      <x:c r="E20" s="32" t="n">
        <x:f>IF(B20&gt;'Analysis'!$C$13*12,0,'Analysis'!$G$22)</x:f>
        <x:v>786.6163221218766</x:v>
      </x:c>
      <x:c r="F20" s="32" t="n">
        <x:f>MAX(0,E20-G20)</x:f>
        <x:v>695.5151749820947</x:v>
      </x:c>
      <x:c r="G20" s="16" t="n">
        <x:f>IF(OR('Analysis'!$G$21=0,B20&gt;'Analysis'!$C$13*12),0,IF('Analysis'!$C$12=0,'Analysis'!$G$21/('Analysis'!$C$13*12),'Analysis'!$G$21*(1+'Analysis'!$C$12/12)^-('Analysis'!$C$13*12-B20)*(1-(1+'Analysis'!$C$12/12)^-1)/(1-(1+'Analysis'!$C$12/12)^-('Analysis'!$C$13*12))))</x:f>
        <x:v>91.1011471397819</x:v>
      </x:c>
      <x:c r="H20" s="16" t="n">
        <x:f>IF(B20&gt;='Analysis'!$C$13*12,0,MAX(0,D20-G20))</x:f>
        <x:v>111191.32684999518</x:v>
      </x:c>
    </x:row>
    <x:row r="21" ht="22" customHeight="1">
      <x:c r="A21" s="2"/>
      <x:c r="B21" s="41" t="n">
        <x:f>16</x:f>
        <x:v>16</x:v>
      </x:c>
      <x:c r="C21" s="41" t="n">
        <x:f>ROUNDUP(B21/12,0)</x:f>
        <x:v>2</x:v>
      </x:c>
      <x:c r="D21" s="16" t="n">
        <x:f>H20</x:f>
        <x:v>111191.32684999518</x:v>
      </x:c>
      <x:c r="E21" s="32" t="n">
        <x:f>IF(B21&gt;'Analysis'!$C$13*12,0,'Analysis'!$G$22)</x:f>
        <x:v>786.6163221218766</x:v>
      </x:c>
      <x:c r="F21" s="32" t="n">
        <x:f>MAX(0,E21-G21)</x:f>
        <x:v>694.945792812471</x:v>
      </x:c>
      <x:c r="G21" s="16" t="n">
        <x:f>IF(OR('Analysis'!$G$21=0,B21&gt;'Analysis'!$C$13*12),0,IF('Analysis'!$C$12=0,'Analysis'!$G$21/('Analysis'!$C$13*12),'Analysis'!$G$21*(1+'Analysis'!$C$12/12)^-('Analysis'!$C$13*12-B21)*(1-(1+'Analysis'!$C$12/12)^-1)/(1-(1+'Analysis'!$C$12/12)^-('Analysis'!$C$13*12))))</x:f>
        <x:v>91.67052930940552</x:v>
      </x:c>
      <x:c r="H21" s="16" t="n">
        <x:f>IF(B21&gt;='Analysis'!$C$13*12,0,MAX(0,D21-G21))</x:f>
        <x:v>111099.65632068578</x:v>
      </x:c>
    </x:row>
    <x:row r="22" ht="22" customHeight="1">
      <x:c r="A22" s="2"/>
      <x:c r="B22" s="41" t="n">
        <x:f>17</x:f>
        <x:v>17</x:v>
      </x:c>
      <x:c r="C22" s="41" t="n">
        <x:f>ROUNDUP(B22/12,0)</x:f>
        <x:v>2</x:v>
      </x:c>
      <x:c r="D22" s="16" t="n">
        <x:f>H21</x:f>
        <x:v>111099.65632068578</x:v>
      </x:c>
      <x:c r="E22" s="32" t="n">
        <x:f>IF(B22&gt;'Analysis'!$C$13*12,0,'Analysis'!$G$22)</x:f>
        <x:v>786.6163221218766</x:v>
      </x:c>
      <x:c r="F22" s="32" t="n">
        <x:f>MAX(0,E22-G22)</x:f>
        <x:v>694.3728520042872</x:v>
      </x:c>
      <x:c r="G22" s="16" t="n">
        <x:f>IF(OR('Analysis'!$G$21=0,B22&gt;'Analysis'!$C$13*12),0,IF('Analysis'!$C$12=0,'Analysis'!$G$21/('Analysis'!$C$13*12),'Analysis'!$G$21*(1+'Analysis'!$C$12/12)^-('Analysis'!$C$13*12-B22)*(1-(1+'Analysis'!$C$12/12)^-1)/(1-(1+'Analysis'!$C$12/12)^-('Analysis'!$C$13*12))))</x:f>
        <x:v>92.24347011758934</x:v>
      </x:c>
      <x:c r="H22" s="16" t="n">
        <x:f>IF(B22&gt;='Analysis'!$C$13*12,0,MAX(0,D22-G22))</x:f>
        <x:v>111007.41285056819</x:v>
      </x:c>
    </x:row>
    <x:row r="23" ht="22" customHeight="1">
      <x:c r="A23" s="2"/>
      <x:c r="B23" s="41" t="n">
        <x:f>18</x:f>
        <x:v>18</x:v>
      </x:c>
      <x:c r="C23" s="41" t="n">
        <x:f>ROUNDUP(B23/12,0)</x:f>
        <x:v>2</x:v>
      </x:c>
      <x:c r="D23" s="16" t="n">
        <x:f>H22</x:f>
        <x:v>111007.41285056819</x:v>
      </x:c>
      <x:c r="E23" s="32" t="n">
        <x:f>IF(B23&gt;'Analysis'!$C$13*12,0,'Analysis'!$G$22)</x:f>
        <x:v>786.6163221218766</x:v>
      </x:c>
      <x:c r="F23" s="32" t="n">
        <x:f>MAX(0,E23-G23)</x:f>
        <x:v>693.7963303160523</x:v>
      </x:c>
      <x:c r="G23" s="16" t="n">
        <x:f>IF(OR('Analysis'!$G$21=0,B23&gt;'Analysis'!$C$13*12),0,IF('Analysis'!$C$12=0,'Analysis'!$G$21/('Analysis'!$C$13*12),'Analysis'!$G$21*(1+'Analysis'!$C$12/12)^-('Analysis'!$C$13*12-B23)*(1-(1+'Analysis'!$C$12/12)^-1)/(1-(1+'Analysis'!$C$12/12)^-('Analysis'!$C$13*12))))</x:f>
        <x:v>92.81999180582426</x:v>
      </x:c>
      <x:c r="H23" s="16" t="n">
        <x:f>IF(B23&gt;='Analysis'!$C$13*12,0,MAX(0,D23-G23))</x:f>
        <x:v>110914.59285876236</x:v>
      </x:c>
    </x:row>
    <x:row r="24" ht="22" customHeight="1">
      <x:c r="A24" s="2"/>
      <x:c r="B24" s="41" t="n">
        <x:f>19</x:f>
        <x:v>19</x:v>
      </x:c>
      <x:c r="C24" s="41" t="n">
        <x:f>ROUNDUP(B24/12,0)</x:f>
        <x:v>2</x:v>
      </x:c>
      <x:c r="D24" s="16" t="n">
        <x:f>H23</x:f>
        <x:v>110914.59285876236</x:v>
      </x:c>
      <x:c r="E24" s="32" t="n">
        <x:f>IF(B24&gt;'Analysis'!$C$13*12,0,'Analysis'!$G$22)</x:f>
        <x:v>786.6163221218766</x:v>
      </x:c>
      <x:c r="F24" s="32" t="n">
        <x:f>MAX(0,E24-G24)</x:f>
        <x:v>693.216205367266</x:v>
      </x:c>
      <x:c r="G24" s="16" t="n">
        <x:f>IF(OR('Analysis'!$G$21=0,B24&gt;'Analysis'!$C$13*12),0,IF('Analysis'!$C$12=0,'Analysis'!$G$21/('Analysis'!$C$13*12),'Analysis'!$G$21*(1+'Analysis'!$C$12/12)^-('Analysis'!$C$13*12-B24)*(1-(1+'Analysis'!$C$12/12)^-1)/(1-(1+'Analysis'!$C$12/12)^-('Analysis'!$C$13*12))))</x:f>
        <x:v>93.40011675461068</x:v>
      </x:c>
      <x:c r="H24" s="16" t="n">
        <x:f>IF(B24&gt;='Analysis'!$C$13*12,0,MAX(0,D24-G24))</x:f>
        <x:v>110821.19274200776</x:v>
      </x:c>
    </x:row>
    <x:row r="25" ht="22" customHeight="1">
      <x:c r="A25" s="2"/>
      <x:c r="B25" s="41" t="n">
        <x:f>20</x:f>
        <x:v>20</x:v>
      </x:c>
      <x:c r="C25" s="41" t="n">
        <x:f>ROUNDUP(B25/12,0)</x:f>
        <x:v>2</x:v>
      </x:c>
      <x:c r="D25" s="16" t="n">
        <x:f>H24</x:f>
        <x:v>110821.19274200776</x:v>
      </x:c>
      <x:c r="E25" s="32" t="n">
        <x:f>IF(B25&gt;'Analysis'!$C$13*12,0,'Analysis'!$G$22)</x:f>
        <x:v>786.6163221218766</x:v>
      </x:c>
      <x:c r="F25" s="32" t="n">
        <x:f>MAX(0,E25-G25)</x:f>
        <x:v>692.6324546375496</x:v>
      </x:c>
      <x:c r="G25" s="16" t="n">
        <x:f>IF(OR('Analysis'!$G$21=0,B25&gt;'Analysis'!$C$13*12),0,IF('Analysis'!$C$12=0,'Analysis'!$G$21/('Analysis'!$C$13*12),'Analysis'!$G$21*(1+'Analysis'!$C$12/12)^-('Analysis'!$C$13*12-B25)*(1-(1+'Analysis'!$C$12/12)^-1)/(1-(1+'Analysis'!$C$12/12)^-('Analysis'!$C$13*12))))</x:f>
        <x:v>93.983867484327</x:v>
      </x:c>
      <x:c r="H25" s="16" t="n">
        <x:f>IF(B25&gt;='Analysis'!$C$13*12,0,MAX(0,D25-G25))</x:f>
        <x:v>110727.20887452342</x:v>
      </x:c>
    </x:row>
    <x:row r="26" ht="22" customHeight="1">
      <x:c r="A26" s="2"/>
      <x:c r="B26" s="41" t="n">
        <x:f>21</x:f>
        <x:v>21</x:v>
      </x:c>
      <x:c r="C26" s="41" t="n">
        <x:f>ROUNDUP(B26/12,0)</x:f>
        <x:v>2</x:v>
      </x:c>
      <x:c r="D26" s="16" t="n">
        <x:f>H25</x:f>
        <x:v>110727.20887452342</x:v>
      </x:c>
      <x:c r="E26" s="32" t="n">
        <x:f>IF(B26&gt;'Analysis'!$C$13*12,0,'Analysis'!$G$22)</x:f>
        <x:v>786.6163221218766</x:v>
      </x:c>
      <x:c r="F26" s="32" t="n">
        <x:f>MAX(0,E26-G26)</x:f>
        <x:v>692.0450554657725</x:v>
      </x:c>
      <x:c r="G26" s="16" t="n">
        <x:f>IF(OR('Analysis'!$G$21=0,B26&gt;'Analysis'!$C$13*12),0,IF('Analysis'!$C$12=0,'Analysis'!$G$21/('Analysis'!$C$13*12),'Analysis'!$G$21*(1+'Analysis'!$C$12/12)^-('Analysis'!$C$13*12-B26)*(1-(1+'Analysis'!$C$12/12)^-1)/(1-(1+'Analysis'!$C$12/12)^-('Analysis'!$C$13*12))))</x:f>
        <x:v>94.57126665610406</x:v>
      </x:c>
      <x:c r="H26" s="16" t="n">
        <x:f>IF(B26&gt;='Analysis'!$C$13*12,0,MAX(0,D26-G26))</x:f>
        <x:v>110632.63760786732</x:v>
      </x:c>
    </x:row>
    <x:row r="27" ht="22" customHeight="1">
      <x:c r="A27" s="2"/>
      <x:c r="B27" s="41" t="n">
        <x:f>22</x:f>
        <x:v>22</x:v>
      </x:c>
      <x:c r="C27" s="41" t="n">
        <x:f>ROUNDUP(B27/12,0)</x:f>
        <x:v>2</x:v>
      </x:c>
      <x:c r="D27" s="16" t="n">
        <x:f>H26</x:f>
        <x:v>110632.63760786732</x:v>
      </x:c>
      <x:c r="E27" s="32" t="n">
        <x:f>IF(B27&gt;'Analysis'!$C$13*12,0,'Analysis'!$G$22)</x:f>
        <x:v>786.6163221218766</x:v>
      </x:c>
      <x:c r="F27" s="32" t="n">
        <x:f>MAX(0,E27-G27)</x:f>
        <x:v>691.4539850491718</x:v>
      </x:c>
      <x:c r="G27" s="16" t="n">
        <x:f>IF(OR('Analysis'!$G$21=0,B27&gt;'Analysis'!$C$13*12),0,IF('Analysis'!$C$12=0,'Analysis'!$G$21/('Analysis'!$C$13*12),'Analysis'!$G$21*(1+'Analysis'!$C$12/12)^-('Analysis'!$C$13*12-B27)*(1-(1+'Analysis'!$C$12/12)^-1)/(1-(1+'Analysis'!$C$12/12)^-('Analysis'!$C$13*12))))</x:f>
        <x:v>95.16233707270472</x:v>
      </x:c>
      <x:c r="H27" s="16" t="n">
        <x:f>IF(B27&gt;='Analysis'!$C$13*12,0,MAX(0,D27-G27))</x:f>
        <x:v>110537.47527079462</x:v>
      </x:c>
    </x:row>
    <x:row r="28" ht="22" customHeight="1">
      <x:c r="A28" s="2"/>
      <x:c r="B28" s="41" t="n">
        <x:f>23</x:f>
        <x:v>23</x:v>
      </x:c>
      <x:c r="C28" s="41" t="n">
        <x:f>ROUNDUP(B28/12,0)</x:f>
        <x:v>2</x:v>
      </x:c>
      <x:c r="D28" s="16" t="n">
        <x:f>H27</x:f>
        <x:v>110537.47527079462</x:v>
      </x:c>
      <x:c r="E28" s="32" t="n">
        <x:f>IF(B28&gt;'Analysis'!$C$13*12,0,'Analysis'!$G$22)</x:f>
        <x:v>786.6163221218766</x:v>
      </x:c>
      <x:c r="F28" s="32" t="n">
        <x:f>MAX(0,E28-G28)</x:f>
        <x:v>690.8592204424674</x:v>
      </x:c>
      <x:c r="G28" s="16" t="n">
        <x:f>IF(OR('Analysis'!$G$21=0,B28&gt;'Analysis'!$C$13*12),0,IF('Analysis'!$C$12=0,'Analysis'!$G$21/('Analysis'!$C$13*12),'Analysis'!$G$21*(1+'Analysis'!$C$12/12)^-('Analysis'!$C$13*12-B28)*(1-(1+'Analysis'!$C$12/12)^-1)/(1-(1+'Analysis'!$C$12/12)^-('Analysis'!$C$13*12))))</x:f>
        <x:v>95.75710167940915</x:v>
      </x:c>
      <x:c r="H28" s="16" t="n">
        <x:f>IF(B28&gt;='Analysis'!$C$13*12,0,MAX(0,D28-G28))</x:f>
        <x:v>110441.7181691152</x:v>
      </x:c>
    </x:row>
    <x:row r="29" ht="22" customHeight="1">
      <x:c r="A29" s="2"/>
      <x:c r="B29" s="41" t="n">
        <x:f>24</x:f>
        <x:v>24</x:v>
      </x:c>
      <x:c r="C29" s="41" t="n">
        <x:f>ROUNDUP(B29/12,0)</x:f>
        <x:v>2</x:v>
      </x:c>
      <x:c r="D29" s="16" t="n">
        <x:f>H28</x:f>
        <x:v>110441.7181691152</x:v>
      </x:c>
      <x:c r="E29" s="32" t="n">
        <x:f>IF(B29&gt;'Analysis'!$C$13*12,0,'Analysis'!$G$22)</x:f>
        <x:v>786.6163221218766</x:v>
      </x:c>
      <x:c r="F29" s="32" t="n">
        <x:f>MAX(0,E29-G29)</x:f>
        <x:v>690.2607385569711</x:v>
      </x:c>
      <x:c r="G29" s="16" t="n">
        <x:f>IF(OR('Analysis'!$G$21=0,B29&gt;'Analysis'!$C$13*12),0,IF('Analysis'!$C$12=0,'Analysis'!$G$21/('Analysis'!$C$13*12),'Analysis'!$G$21*(1+'Analysis'!$C$12/12)^-('Analysis'!$C$13*12-B29)*(1-(1+'Analysis'!$C$12/12)^-1)/(1-(1+'Analysis'!$C$12/12)^-('Analysis'!$C$13*12))))</x:f>
        <x:v>96.35558356490544</x:v>
      </x:c>
      <x:c r="H29" s="16" t="n">
        <x:f>IF(B29&gt;='Analysis'!$C$13*12,0,MAX(0,D29-G29))</x:f>
        <x:v>110345.3625855503</x:v>
      </x:c>
    </x:row>
    <x:row r="30" ht="22" customHeight="1">
      <x:c r="A30" s="2"/>
      <x:c r="B30" s="41" t="n">
        <x:f>25</x:f>
        <x:v>25</x:v>
      </x:c>
      <x:c r="C30" s="41" t="n">
        <x:f>ROUNDUP(B30/12,0)</x:f>
        <x:v>3</x:v>
      </x:c>
      <x:c r="D30" s="16" t="n">
        <x:f>H29</x:f>
        <x:v>110345.3625855503</x:v>
      </x:c>
      <x:c r="E30" s="32" t="n">
        <x:f>IF(B30&gt;'Analysis'!$C$13*12,0,'Analysis'!$G$22)</x:f>
        <x:v>786.6163221218766</x:v>
      </x:c>
      <x:c r="F30" s="32" t="n">
        <x:f>MAX(0,E30-G30)</x:f>
        <x:v>689.6585161596905</x:v>
      </x:c>
      <x:c r="G30" s="16" t="n">
        <x:f>IF(OR('Analysis'!$G$21=0,B30&gt;'Analysis'!$C$13*12),0,IF('Analysis'!$C$12=0,'Analysis'!$G$21/('Analysis'!$C$13*12),'Analysis'!$G$21*(1+'Analysis'!$C$12/12)^-('Analysis'!$C$13*12-B30)*(1-(1+'Analysis'!$C$12/12)^-1)/(1-(1+'Analysis'!$C$12/12)^-('Analysis'!$C$13*12))))</x:f>
        <x:v>96.9578059621861</x:v>
      </x:c>
      <x:c r="H30" s="16" t="n">
        <x:f>IF(B30&gt;='Analysis'!$C$13*12,0,MAX(0,D30-G30))</x:f>
        <x:v>110248.40477958812</x:v>
      </x:c>
    </x:row>
    <x:row r="31" ht="22" customHeight="1">
      <x:c r="A31" s="2"/>
      <x:c r="B31" s="41" t="n">
        <x:f>26</x:f>
        <x:v>26</x:v>
      </x:c>
      <x:c r="C31" s="41" t="n">
        <x:f>ROUNDUP(B31/12,0)</x:f>
        <x:v>3</x:v>
      </x:c>
      <x:c r="D31" s="16" t="n">
        <x:f>H30</x:f>
        <x:v>110248.40477958812</x:v>
      </x:c>
      <x:c r="E31" s="32" t="n">
        <x:f>IF(B31&gt;'Analysis'!$C$13*12,0,'Analysis'!$G$22)</x:f>
        <x:v>786.6163221218766</x:v>
      </x:c>
      <x:c r="F31" s="32" t="n">
        <x:f>MAX(0,E31-G31)</x:f>
        <x:v>689.0525298724268</x:v>
      </x:c>
      <x:c r="G31" s="16" t="n">
        <x:f>IF(OR('Analysis'!$G$21=0,B31&gt;'Analysis'!$C$13*12),0,IF('Analysis'!$C$12=0,'Analysis'!$G$21/('Analysis'!$C$13*12),'Analysis'!$G$21*(1+'Analysis'!$C$12/12)^-('Analysis'!$C$13*12-B31)*(1-(1+'Analysis'!$C$12/12)^-1)/(1-(1+'Analysis'!$C$12/12)^-('Analysis'!$C$13*12))))</x:f>
        <x:v>97.56379224944979</x:v>
      </x:c>
      <x:c r="H31" s="16" t="n">
        <x:f>IF(B31&gt;='Analysis'!$C$13*12,0,MAX(0,D31-G31))</x:f>
        <x:v>110150.84098733867</x:v>
      </x:c>
    </x:row>
    <x:row r="32" ht="22" customHeight="1">
      <x:c r="A32" s="2"/>
      <x:c r="B32" s="41" t="n">
        <x:f>27</x:f>
        <x:v>27</x:v>
      </x:c>
      <x:c r="C32" s="41" t="n">
        <x:f>ROUNDUP(B32/12,0)</x:f>
        <x:v>3</x:v>
      </x:c>
      <x:c r="D32" s="16" t="n">
        <x:f>H31</x:f>
        <x:v>110150.84098733867</x:v>
      </x:c>
      <x:c r="E32" s="32" t="n">
        <x:f>IF(B32&gt;'Analysis'!$C$13*12,0,'Analysis'!$G$22)</x:f>
        <x:v>786.6163221218766</x:v>
      </x:c>
      <x:c r="F32" s="32" t="n">
        <x:f>MAX(0,E32-G32)</x:f>
        <x:v>688.4427561708677</x:v>
      </x:c>
      <x:c r="G32" s="16" t="n">
        <x:f>IF(OR('Analysis'!$G$21=0,B32&gt;'Analysis'!$C$13*12),0,IF('Analysis'!$C$12=0,'Analysis'!$G$21/('Analysis'!$C$13*12),'Analysis'!$G$21*(1+'Analysis'!$C$12/12)^-('Analysis'!$C$13*12-B32)*(1-(1+'Analysis'!$C$12/12)^-1)/(1-(1+'Analysis'!$C$12/12)^-('Analysis'!$C$13*12))))</x:f>
        <x:v>98.17356595100887</x:v>
      </x:c>
      <x:c r="H32" s="16" t="n">
        <x:f>IF(B32&gt;='Analysis'!$C$13*12,0,MAX(0,D32-G32))</x:f>
        <x:v>110052.66742138765</x:v>
      </x:c>
    </x:row>
    <x:row r="33" ht="22" customHeight="1">
      <x:c r="A33" s="2"/>
      <x:c r="B33" s="41" t="n">
        <x:f>28</x:f>
        <x:v>28</x:v>
      </x:c>
      <x:c r="C33" s="41" t="n">
        <x:f>ROUNDUP(B33/12,0)</x:f>
        <x:v>3</x:v>
      </x:c>
      <x:c r="D33" s="16" t="n">
        <x:f>H32</x:f>
        <x:v>110052.66742138765</x:v>
      </x:c>
      <x:c r="E33" s="32" t="n">
        <x:f>IF(B33&gt;'Analysis'!$C$13*12,0,'Analysis'!$G$22)</x:f>
        <x:v>786.6163221218766</x:v>
      </x:c>
      <x:c r="F33" s="32" t="n">
        <x:f>MAX(0,E33-G33)</x:f>
        <x:v>687.829171383674</x:v>
      </x:c>
      <x:c r="G33" s="16" t="n">
        <x:f>IF(OR('Analysis'!$G$21=0,B33&gt;'Analysis'!$C$13*12),0,IF('Analysis'!$C$12=0,'Analysis'!$G$21/('Analysis'!$C$13*12),'Analysis'!$G$21*(1+'Analysis'!$C$12/12)^-('Analysis'!$C$13*12-B33)*(1-(1+'Analysis'!$C$12/12)^-1)/(1-(1+'Analysis'!$C$12/12)^-('Analysis'!$C$13*12))))</x:f>
        <x:v>98.78715073820267</x:v>
      </x:c>
      <x:c r="H33" s="16" t="n">
        <x:f>IF(B33&gt;='Analysis'!$C$13*12,0,MAX(0,D33-G33))</x:f>
        <x:v>109953.88027064945</x:v>
      </x:c>
    </x:row>
    <x:row r="34" ht="22" customHeight="1">
      <x:c r="A34" s="2"/>
      <x:c r="B34" s="41" t="n">
        <x:f>29</x:f>
        <x:v>29</x:v>
      </x:c>
      <x:c r="C34" s="41" t="n">
        <x:f>ROUNDUP(B34/12,0)</x:f>
        <x:v>3</x:v>
      </x:c>
      <x:c r="D34" s="16" t="n">
        <x:f>H33</x:f>
        <x:v>109953.88027064945</x:v>
      </x:c>
      <x:c r="E34" s="32" t="n">
        <x:f>IF(B34&gt;'Analysis'!$C$13*12,0,'Analysis'!$G$22)</x:f>
        <x:v>786.6163221218766</x:v>
      </x:c>
      <x:c r="F34" s="32" t="n">
        <x:f>MAX(0,E34-G34)</x:f>
        <x:v>687.2117516915602</x:v>
      </x:c>
      <x:c r="G34" s="16" t="n">
        <x:f>IF(OR('Analysis'!$G$21=0,B34&gt;'Analysis'!$C$13*12),0,IF('Analysis'!$C$12=0,'Analysis'!$G$21/('Analysis'!$C$13*12),'Analysis'!$G$21*(1+'Analysis'!$C$12/12)^-('Analysis'!$C$13*12-B34)*(1-(1+'Analysis'!$C$12/12)^-1)/(1-(1+'Analysis'!$C$12/12)^-('Analysis'!$C$13*12))))</x:f>
        <x:v>99.40457043031645</x:v>
      </x:c>
      <x:c r="H34" s="16" t="n">
        <x:f>IF(B34&gt;='Analysis'!$C$13*12,0,MAX(0,D34-G34))</x:f>
        <x:v>109854.47570021913</x:v>
      </x:c>
    </x:row>
    <x:row r="35" ht="22" customHeight="1">
      <x:c r="A35" s="2"/>
      <x:c r="B35" s="41" t="n">
        <x:f>30</x:f>
        <x:v>30</x:v>
      </x:c>
      <x:c r="C35" s="41" t="n">
        <x:f>ROUNDUP(B35/12,0)</x:f>
        <x:v>3</x:v>
      </x:c>
      <x:c r="D35" s="16" t="n">
        <x:f>H34</x:f>
        <x:v>109854.47570021913</x:v>
      </x:c>
      <x:c r="E35" s="32" t="n">
        <x:f>IF(B35&gt;'Analysis'!$C$13*12,0,'Analysis'!$G$22)</x:f>
        <x:v>786.6163221218766</x:v>
      </x:c>
      <x:c r="F35" s="32" t="n">
        <x:f>MAX(0,E35-G35)</x:f>
        <x:v>686.5904731263706</x:v>
      </x:c>
      <x:c r="G35" s="16" t="n">
        <x:f>IF(OR('Analysis'!$G$21=0,B35&gt;'Analysis'!$C$13*12),0,IF('Analysis'!$C$12=0,'Analysis'!$G$21/('Analysis'!$C$13*12),'Analysis'!$G$21*(1+'Analysis'!$C$12/12)^-('Analysis'!$C$13*12-B35)*(1-(1+'Analysis'!$C$12/12)^-1)/(1-(1+'Analysis'!$C$12/12)^-('Analysis'!$C$13*12))))</x:f>
        <x:v>100.02584899550592</x:v>
      </x:c>
      <x:c r="H35" s="16" t="n">
        <x:f>IF(B35&gt;='Analysis'!$C$13*12,0,MAX(0,D35-G35))</x:f>
        <x:v>109754.44985122363</x:v>
      </x:c>
    </x:row>
    <x:row r="36" ht="22" customHeight="1">
      <x:c r="A36" s="2"/>
      <x:c r="B36" s="41" t="n">
        <x:f>31</x:f>
        <x:v>31</x:v>
      </x:c>
      <x:c r="C36" s="41" t="n">
        <x:f>ROUNDUP(B36/12,0)</x:f>
        <x:v>3</x:v>
      </x:c>
      <x:c r="D36" s="16" t="n">
        <x:f>H35</x:f>
        <x:v>109754.44985122363</x:v>
      </x:c>
      <x:c r="E36" s="32" t="n">
        <x:f>IF(B36&gt;'Analysis'!$C$13*12,0,'Analysis'!$G$22)</x:f>
        <x:v>786.6163221218766</x:v>
      </x:c>
      <x:c r="F36" s="32" t="n">
        <x:f>MAX(0,E36-G36)</x:f>
        <x:v>685.9653115701487</x:v>
      </x:c>
      <x:c r="G36" s="16" t="n">
        <x:f>IF(OR('Analysis'!$G$21=0,B36&gt;'Analysis'!$C$13*12),0,IF('Analysis'!$C$12=0,'Analysis'!$G$21/('Analysis'!$C$13*12),'Analysis'!$G$21*(1+'Analysis'!$C$12/12)^-('Analysis'!$C$13*12-B36)*(1-(1+'Analysis'!$C$12/12)^-1)/(1-(1+'Analysis'!$C$12/12)^-('Analysis'!$C$13*12))))</x:f>
        <x:v>100.65101055172785</x:v>
      </x:c>
      <x:c r="H36" s="16" t="n">
        <x:f>IF(B36&gt;='Analysis'!$C$13*12,0,MAX(0,D36-G36))</x:f>
        <x:v>109653.79884067191</x:v>
      </x:c>
    </x:row>
    <x:row r="37" ht="22" customHeight="1">
      <x:c r="A37" s="2"/>
      <x:c r="B37" s="41" t="n">
        <x:f>32</x:f>
        <x:v>32</x:v>
      </x:c>
      <x:c r="C37" s="41" t="n">
        <x:f>ROUNDUP(B37/12,0)</x:f>
        <x:v>3</x:v>
      </x:c>
      <x:c r="D37" s="16" t="n">
        <x:f>H36</x:f>
        <x:v>109653.79884067191</x:v>
      </x:c>
      <x:c r="E37" s="32" t="n">
        <x:f>IF(B37&gt;'Analysis'!$C$13*12,0,'Analysis'!$G$22)</x:f>
        <x:v>786.6163221218766</x:v>
      </x:c>
      <x:c r="F37" s="32" t="n">
        <x:f>MAX(0,E37-G37)</x:f>
        <x:v>685.3362427542004</x:v>
      </x:c>
      <x:c r="G37" s="16" t="n">
        <x:f>IF(OR('Analysis'!$G$21=0,B37&gt;'Analysis'!$C$13*12),0,IF('Analysis'!$C$12=0,'Analysis'!$G$21/('Analysis'!$C$13*12),'Analysis'!$G$21*(1+'Analysis'!$C$12/12)^-('Analysis'!$C$13*12-B37)*(1-(1+'Analysis'!$C$12/12)^-1)/(1-(1+'Analysis'!$C$12/12)^-('Analysis'!$C$13*12))))</x:f>
        <x:v>101.28007936767615</x:v>
      </x:c>
      <x:c r="H37" s="16" t="n">
        <x:f>IF(B37&gt;='Analysis'!$C$13*12,0,MAX(0,D37-G37))</x:f>
        <x:v>109552.51876130424</x:v>
      </x:c>
    </x:row>
    <x:row r="38" ht="22" customHeight="1">
      <x:c r="A38" s="2"/>
      <x:c r="B38" s="41" t="n">
        <x:f>33</x:f>
        <x:v>33</x:v>
      </x:c>
      <x:c r="C38" s="41" t="n">
        <x:f>ROUNDUP(B38/12,0)</x:f>
        <x:v>3</x:v>
      </x:c>
      <x:c r="D38" s="16" t="n">
        <x:f>H37</x:f>
        <x:v>109552.51876130424</x:v>
      </x:c>
      <x:c r="E38" s="32" t="n">
        <x:f>IF(B38&gt;'Analysis'!$C$13*12,0,'Analysis'!$G$22)</x:f>
        <x:v>786.6163221218766</x:v>
      </x:c>
      <x:c r="F38" s="32" t="n">
        <x:f>MAX(0,E38-G38)</x:f>
        <x:v>684.7032422581524</x:v>
      </x:c>
      <x:c r="G38" s="16" t="n">
        <x:f>IF(OR('Analysis'!$G$21=0,B38&gt;'Analysis'!$C$13*12),0,IF('Analysis'!$C$12=0,'Analysis'!$G$21/('Analysis'!$C$13*12),'Analysis'!$G$21*(1+'Analysis'!$C$12/12)^-('Analysis'!$C$13*12-B38)*(1-(1+'Analysis'!$C$12/12)^-1)/(1-(1+'Analysis'!$C$12/12)^-('Analysis'!$C$13*12))))</x:f>
        <x:v>101.91307986372416</x:v>
      </x:c>
      <x:c r="H38" s="16" t="n">
        <x:f>IF(B38&gt;='Analysis'!$C$13*12,0,MAX(0,D38-G38))</x:f>
        <x:v>109450.60568144052</x:v>
      </x:c>
    </x:row>
    <x:row r="39" ht="22" customHeight="1">
      <x:c r="A39" s="2"/>
      <x:c r="B39" s="41" t="n">
        <x:f>34</x:f>
        <x:v>34</x:v>
      </x:c>
      <x:c r="C39" s="41" t="n">
        <x:f>ROUNDUP(B39/12,0)</x:f>
        <x:v>3</x:v>
      </x:c>
      <x:c r="D39" s="16" t="n">
        <x:f>H38</x:f>
        <x:v>109450.60568144052</x:v>
      </x:c>
      <x:c r="E39" s="32" t="n">
        <x:f>IF(B39&gt;'Analysis'!$C$13*12,0,'Analysis'!$G$22)</x:f>
        <x:v>786.6163221218766</x:v>
      </x:c>
      <x:c r="F39" s="32" t="n">
        <x:f>MAX(0,E39-G39)</x:f>
        <x:v>684.0662855090042</x:v>
      </x:c>
      <x:c r="G39" s="16" t="n">
        <x:f>IF(OR('Analysis'!$G$21=0,B39&gt;'Analysis'!$C$13*12),0,IF('Analysis'!$C$12=0,'Analysis'!$G$21/('Analysis'!$C$13*12),'Analysis'!$G$21*(1+'Analysis'!$C$12/12)^-('Analysis'!$C$13*12-B39)*(1-(1+'Analysis'!$C$12/12)^-1)/(1-(1+'Analysis'!$C$12/12)^-('Analysis'!$C$13*12))))</x:f>
        <x:v>102.55003661287242</x:v>
      </x:c>
      <x:c r="H39" s="16" t="n">
        <x:f>IF(B39&gt;='Analysis'!$C$13*12,0,MAX(0,D39-G39))</x:f>
        <x:v>109348.05564482765</x:v>
      </x:c>
    </x:row>
    <x:row r="40" ht="22" customHeight="1">
      <x:c r="A40" s="2"/>
      <x:c r="B40" s="41" t="n">
        <x:f>35</x:f>
        <x:v>35</x:v>
      </x:c>
      <x:c r="C40" s="41" t="n">
        <x:f>ROUNDUP(B40/12,0)</x:f>
        <x:v>3</x:v>
      </x:c>
      <x:c r="D40" s="16" t="n">
        <x:f>H39</x:f>
        <x:v>109348.05564482765</x:v>
      </x:c>
      <x:c r="E40" s="32" t="n">
        <x:f>IF(B40&gt;'Analysis'!$C$13*12,0,'Analysis'!$G$22)</x:f>
        <x:v>786.6163221218766</x:v>
      </x:c>
      <x:c r="F40" s="32" t="n">
        <x:f>MAX(0,E40-G40)</x:f>
        <x:v>683.4253477801736</x:v>
      </x:c>
      <x:c r="G40" s="16" t="n">
        <x:f>IF(OR('Analysis'!$G$21=0,B40&gt;'Analysis'!$C$13*12),0,IF('Analysis'!$C$12=0,'Analysis'!$G$21/('Analysis'!$C$13*12),'Analysis'!$G$21*(1+'Analysis'!$C$12/12)^-('Analysis'!$C$13*12-B40)*(1-(1+'Analysis'!$C$12/12)^-1)/(1-(1+'Analysis'!$C$12/12)^-('Analysis'!$C$13*12))))</x:f>
        <x:v>103.1909743417029</x:v>
      </x:c>
      <x:c r="H40" s="16" t="n">
        <x:f>IF(B40&gt;='Analysis'!$C$13*12,0,MAX(0,D40-G40))</x:f>
        <x:v>109244.86467048594</x:v>
      </x:c>
    </x:row>
    <x:row r="41" ht="22" customHeight="1">
      <x:c r="A41" s="2"/>
      <x:c r="B41" s="41" t="n">
        <x:f>36</x:f>
        <x:v>36</x:v>
      </x:c>
      <x:c r="C41" s="41" t="n">
        <x:f>ROUNDUP(B41/12,0)</x:f>
        <x:v>3</x:v>
      </x:c>
      <x:c r="D41" s="16" t="n">
        <x:f>H40</x:f>
        <x:v>109244.86467048594</x:v>
      </x:c>
      <x:c r="E41" s="32" t="n">
        <x:f>IF(B41&gt;'Analysis'!$C$13*12,0,'Analysis'!$G$22)</x:f>
        <x:v>786.6163221218766</x:v>
      </x:c>
      <x:c r="F41" s="32" t="n">
        <x:f>MAX(0,E41-G41)</x:f>
        <x:v>682.7804041905381</x:v>
      </x:c>
      <x:c r="G41" s="16" t="n">
        <x:f>IF(OR('Analysis'!$G$21=0,B41&gt;'Analysis'!$C$13*12),0,IF('Analysis'!$C$12=0,'Analysis'!$G$21/('Analysis'!$C$13*12),'Analysis'!$G$21*(1+'Analysis'!$C$12/12)^-('Analysis'!$C$13*12-B41)*(1-(1+'Analysis'!$C$12/12)^-1)/(1-(1+'Analysis'!$C$12/12)^-('Analysis'!$C$13*12))))</x:f>
        <x:v>103.83591793133854</x:v>
      </x:c>
      <x:c r="H41" s="16" t="n">
        <x:f>IF(B41&gt;='Analysis'!$C$13*12,0,MAX(0,D41-G41))</x:f>
        <x:v>109141.0287525546</x:v>
      </x:c>
    </x:row>
    <x:row r="42" ht="22" customHeight="1">
      <x:c r="A42" s="2"/>
      <x:c r="B42" s="41" t="n">
        <x:f>37</x:f>
        <x:v>37</x:v>
      </x:c>
      <x:c r="C42" s="41" t="n">
        <x:f>ROUNDUP(B42/12,0)</x:f>
        <x:v>4</x:v>
      </x:c>
      <x:c r="D42" s="16" t="n">
        <x:f>H41</x:f>
        <x:v>109141.0287525546</x:v>
      </x:c>
      <x:c r="E42" s="32" t="n">
        <x:f>IF(B42&gt;'Analysis'!$C$13*12,0,'Analysis'!$G$22)</x:f>
        <x:v>786.6163221218766</x:v>
      </x:c>
      <x:c r="F42" s="32" t="n">
        <x:f>MAX(0,E42-G42)</x:f>
        <x:v>682.1314297034671</x:v>
      </x:c>
      <x:c r="G42" s="16" t="n">
        <x:f>IF(OR('Analysis'!$G$21=0,B42&gt;'Analysis'!$C$13*12),0,IF('Analysis'!$C$12=0,'Analysis'!$G$21/('Analysis'!$C$13*12),'Analysis'!$G$21*(1+'Analysis'!$C$12/12)^-('Analysis'!$C$13*12-B42)*(1-(1+'Analysis'!$C$12/12)^-1)/(1-(1+'Analysis'!$C$12/12)^-('Analysis'!$C$13*12))))</x:f>
        <x:v>104.48489241840942</x:v>
      </x:c>
      <x:c r="H42" s="16" t="n">
        <x:f>IF(B42&gt;='Analysis'!$C$13*12,0,MAX(0,D42-G42))</x:f>
        <x:v>109036.5438601362</x:v>
      </x:c>
    </x:row>
    <x:row r="43" ht="22" customHeight="1">
      <x:c r="A43" s="2"/>
      <x:c r="B43" s="41" t="n">
        <x:f>38</x:f>
        <x:v>38</x:v>
      </x:c>
      <x:c r="C43" s="41" t="n">
        <x:f>ROUNDUP(B43/12,0)</x:f>
        <x:v>4</x:v>
      </x:c>
      <x:c r="D43" s="16" t="n">
        <x:f>H42</x:f>
        <x:v>109036.5438601362</x:v>
      </x:c>
      <x:c r="E43" s="32" t="n">
        <x:f>IF(B43&gt;'Analysis'!$C$13*12,0,'Analysis'!$G$22)</x:f>
        <x:v>786.6163221218766</x:v>
      </x:c>
      <x:c r="F43" s="32" t="n">
        <x:f>MAX(0,E43-G43)</x:f>
        <x:v>681.4783991258521</x:v>
      </x:c>
      <x:c r="G43" s="16" t="n">
        <x:f>IF(OR('Analysis'!$G$21=0,B43&gt;'Analysis'!$C$13*12),0,IF('Analysis'!$C$12=0,'Analysis'!$G$21/('Analysis'!$C$13*12),'Analysis'!$G$21*(1+'Analysis'!$C$12/12)^-('Analysis'!$C$13*12-B43)*(1-(1+'Analysis'!$C$12/12)^-1)/(1-(1+'Analysis'!$C$12/12)^-('Analysis'!$C$13*12))))</x:f>
        <x:v>105.1379229960245</x:v>
      </x:c>
      <x:c r="H43" s="16" t="n">
        <x:f>IF(B43&gt;='Analysis'!$C$13*12,0,MAX(0,D43-G43))</x:f>
        <x:v>108931.40593714017</x:v>
      </x:c>
    </x:row>
    <x:row r="44" ht="22" customHeight="1">
      <x:c r="A44" s="2"/>
      <x:c r="B44" s="41" t="n">
        <x:f>39</x:f>
        <x:v>39</x:v>
      </x:c>
      <x:c r="C44" s="41" t="n">
        <x:f>ROUNDUP(B44/12,0)</x:f>
        <x:v>4</x:v>
      </x:c>
      <x:c r="D44" s="16" t="n">
        <x:f>H43</x:f>
        <x:v>108931.40593714017</x:v>
      </x:c>
      <x:c r="E44" s="32" t="n">
        <x:f>IF(B44&gt;'Analysis'!$C$13*12,0,'Analysis'!$G$22)</x:f>
        <x:v>786.6163221218766</x:v>
      </x:c>
      <x:c r="F44" s="32" t="n">
        <x:f>MAX(0,E44-G44)</x:f>
        <x:v>680.821287107127</x:v>
      </x:c>
      <x:c r="G44" s="16" t="n">
        <x:f>IF(OR('Analysis'!$G$21=0,B44&gt;'Analysis'!$C$13*12),0,IF('Analysis'!$C$12=0,'Analysis'!$G$21/('Analysis'!$C$13*12),'Analysis'!$G$21*(1+'Analysis'!$C$12/12)^-('Analysis'!$C$13*12-B44)*(1-(1+'Analysis'!$C$12/12)^-1)/(1-(1+'Analysis'!$C$12/12)^-('Analysis'!$C$13*12))))</x:f>
        <x:v>105.79503501474964</x:v>
      </x:c>
      <x:c r="H44" s="16" t="n">
        <x:f>IF(B44&gt;='Analysis'!$C$13*12,0,MAX(0,D44-G44))</x:f>
        <x:v>108825.61090212542</x:v>
      </x:c>
    </x:row>
    <x:row r="45" ht="22" customHeight="1">
      <x:c r="A45" s="2"/>
      <x:c r="B45" s="41" t="n">
        <x:f>40</x:f>
        <x:v>40</x:v>
      </x:c>
      <x:c r="C45" s="41" t="n">
        <x:f>ROUNDUP(B45/12,0)</x:f>
        <x:v>4</x:v>
      </x:c>
      <x:c r="D45" s="16" t="n">
        <x:f>H44</x:f>
        <x:v>108825.61090212542</x:v>
      </x:c>
      <x:c r="E45" s="32" t="n">
        <x:f>IF(B45&gt;'Analysis'!$C$13*12,0,'Analysis'!$G$22)</x:f>
        <x:v>786.6163221218766</x:v>
      </x:c>
      <x:c r="F45" s="32" t="n">
        <x:f>MAX(0,E45-G45)</x:f>
        <x:v>680.1600681382847</x:v>
      </x:c>
      <x:c r="G45" s="16" t="n">
        <x:f>IF(OR('Analysis'!$G$21=0,B45&gt;'Analysis'!$C$13*12),0,IF('Analysis'!$C$12=0,'Analysis'!$G$21/('Analysis'!$C$13*12),'Analysis'!$G$21*(1+'Analysis'!$C$12/12)^-('Analysis'!$C$13*12-B45)*(1-(1+'Analysis'!$C$12/12)^-1)/(1-(1+'Analysis'!$C$12/12)^-('Analysis'!$C$13*12))))</x:f>
        <x:v>106.45625398359185</x:v>
      </x:c>
      <x:c r="H45" s="16" t="n">
        <x:f>IF(B45&gt;='Analysis'!$C$13*12,0,MAX(0,D45-G45))</x:f>
        <x:v>108719.15464814183</x:v>
      </x:c>
    </x:row>
    <x:row r="46" ht="22" customHeight="1">
      <x:c r="A46" s="2"/>
      <x:c r="B46" s="41" t="n">
        <x:f>41</x:f>
        <x:v>41</x:v>
      </x:c>
      <x:c r="C46" s="41" t="n">
        <x:f>ROUNDUP(B46/12,0)</x:f>
        <x:v>4</x:v>
      </x:c>
      <x:c r="D46" s="16" t="n">
        <x:f>H45</x:f>
        <x:v>108719.15464814183</x:v>
      </x:c>
      <x:c r="E46" s="32" t="n">
        <x:f>IF(B46&gt;'Analysis'!$C$13*12,0,'Analysis'!$G$22)</x:f>
        <x:v>786.6163221218766</x:v>
      </x:c>
      <x:c r="F46" s="32" t="n">
        <x:f>MAX(0,E46-G46)</x:f>
        <x:v>679.4947165508872</x:v>
      </x:c>
      <x:c r="G46" s="16" t="n">
        <x:f>IF(OR('Analysis'!$G$21=0,B46&gt;'Analysis'!$C$13*12),0,IF('Analysis'!$C$12=0,'Analysis'!$G$21/('Analysis'!$C$13*12),'Analysis'!$G$21*(1+'Analysis'!$C$12/12)^-('Analysis'!$C$13*12-B46)*(1-(1+'Analysis'!$C$12/12)^-1)/(1-(1+'Analysis'!$C$12/12)^-('Analysis'!$C$13*12))))</x:f>
        <x:v>107.1216055709893</x:v>
      </x:c>
      <x:c r="H46" s="16" t="n">
        <x:f>IF(B46&gt;='Analysis'!$C$13*12,0,MAX(0,D46-G46))</x:f>
        <x:v>108612.03304257084</x:v>
      </x:c>
    </x:row>
    <x:row r="47" ht="22" customHeight="1">
      <x:c r="A47" s="2"/>
      <x:c r="B47" s="41" t="n">
        <x:f>42</x:f>
        <x:v>42</x:v>
      </x:c>
      <x:c r="C47" s="41" t="n">
        <x:f>ROUNDUP(B47/12,0)</x:f>
        <x:v>4</x:v>
      </x:c>
      <x:c r="D47" s="16" t="n">
        <x:f>H46</x:f>
        <x:v>108612.03304257084</x:v>
      </x:c>
      <x:c r="E47" s="32" t="n">
        <x:f>IF(B47&gt;'Analysis'!$C$13*12,0,'Analysis'!$G$22)</x:f>
        <x:v>786.6163221218766</x:v>
      </x:c>
      <x:c r="F47" s="32" t="n">
        <x:f>MAX(0,E47-G47)</x:f>
        <x:v>678.8252065160685</x:v>
      </x:c>
      <x:c r="G47" s="16" t="n">
        <x:f>IF(OR('Analysis'!$G$21=0,B47&gt;'Analysis'!$C$13*12),0,IF('Analysis'!$C$12=0,'Analysis'!$G$21/('Analysis'!$C$13*12),'Analysis'!$G$21*(1+'Analysis'!$C$12/12)^-('Analysis'!$C$13*12-B47)*(1-(1+'Analysis'!$C$12/12)^-1)/(1-(1+'Analysis'!$C$12/12)^-('Analysis'!$C$13*12))))</x:f>
        <x:v>107.791115605808</x:v>
      </x:c>
      <x:c r="H47" s="16" t="n">
        <x:f>IF(B47&gt;='Analysis'!$C$13*12,0,MAX(0,D47-G47))</x:f>
        <x:v>108504.24192696503</x:v>
      </x:c>
    </x:row>
    <x:row r="48" ht="22" customHeight="1">
      <x:c r="A48" s="2"/>
      <x:c r="B48" s="41" t="n">
        <x:f>43</x:f>
        <x:v>43</x:v>
      </x:c>
      <x:c r="C48" s="41" t="n">
        <x:f>ROUNDUP(B48/12,0)</x:f>
        <x:v>4</x:v>
      </x:c>
      <x:c r="D48" s="16" t="n">
        <x:f>H47</x:f>
        <x:v>108504.24192696503</x:v>
      </x:c>
      <x:c r="E48" s="32" t="n">
        <x:f>IF(B48&gt;'Analysis'!$C$13*12,0,'Analysis'!$G$22)</x:f>
        <x:v>786.6163221218766</x:v>
      </x:c>
      <x:c r="F48" s="32" t="n">
        <x:f>MAX(0,E48-G48)</x:f>
        <x:v>678.1515120435323</x:v>
      </x:c>
      <x:c r="G48" s="16" t="n">
        <x:f>IF(OR('Analysis'!$G$21=0,B48&gt;'Analysis'!$C$13*12),0,IF('Analysis'!$C$12=0,'Analysis'!$G$21/('Analysis'!$C$13*12),'Analysis'!$G$21*(1+'Analysis'!$C$12/12)^-('Analysis'!$C$13*12-B48)*(1-(1+'Analysis'!$C$12/12)^-1)/(1-(1+'Analysis'!$C$12/12)^-('Analysis'!$C$13*12))))</x:f>
        <x:v>108.46481007834431</x:v>
      </x:c>
      <x:c r="H48" s="16" t="n">
        <x:f>IF(B48&gt;='Analysis'!$C$13*12,0,MAX(0,D48-G48))</x:f>
        <x:v>108395.77711688669</x:v>
      </x:c>
    </x:row>
    <x:row r="49" ht="22" customHeight="1">
      <x:c r="A49" s="2"/>
      <x:c r="B49" s="41" t="n">
        <x:f>44</x:f>
        <x:v>44</x:v>
      </x:c>
      <x:c r="C49" s="41" t="n">
        <x:f>ROUNDUP(B49/12,0)</x:f>
        <x:v>4</x:v>
      </x:c>
      <x:c r="D49" s="16" t="n">
        <x:f>H48</x:f>
        <x:v>108395.77711688669</x:v>
      </x:c>
      <x:c r="E49" s="32" t="n">
        <x:f>IF(B49&gt;'Analysis'!$C$13*12,0,'Analysis'!$G$22)</x:f>
        <x:v>786.6163221218766</x:v>
      </x:c>
      <x:c r="F49" s="32" t="n">
        <x:f>MAX(0,E49-G49)</x:f>
        <x:v>677.4736069805426</x:v>
      </x:c>
      <x:c r="G49" s="16" t="n">
        <x:f>IF(OR('Analysis'!$G$21=0,B49&gt;'Analysis'!$C$13*12),0,IF('Analysis'!$C$12=0,'Analysis'!$G$21/('Analysis'!$C$13*12),'Analysis'!$G$21*(1+'Analysis'!$C$12/12)^-('Analysis'!$C$13*12-B49)*(1-(1+'Analysis'!$C$12/12)^-1)/(1-(1+'Analysis'!$C$12/12)^-('Analysis'!$C$13*12))))</x:f>
        <x:v>109.14271514133397</x:v>
      </x:c>
      <x:c r="H49" s="16" t="n">
        <x:f>IF(B49&gt;='Analysis'!$C$13*12,0,MAX(0,D49-G49))</x:f>
        <x:v>108286.63440174535</x:v>
      </x:c>
    </x:row>
    <x:row r="50" ht="22" customHeight="1">
      <x:c r="A50" s="2"/>
      <x:c r="B50" s="41" t="n">
        <x:f>45</x:f>
        <x:v>45</x:v>
      </x:c>
      <x:c r="C50" s="41" t="n">
        <x:f>ROUNDUP(B50/12,0)</x:f>
        <x:v>4</x:v>
      </x:c>
      <x:c r="D50" s="16" t="n">
        <x:f>H49</x:f>
        <x:v>108286.63440174535</x:v>
      </x:c>
      <x:c r="E50" s="32" t="n">
        <x:f>IF(B50&gt;'Analysis'!$C$13*12,0,'Analysis'!$G$22)</x:f>
        <x:v>786.6163221218766</x:v>
      </x:c>
      <x:c r="F50" s="32" t="n">
        <x:f>MAX(0,E50-G50)</x:f>
        <x:v>676.7914650109093</x:v>
      </x:c>
      <x:c r="G50" s="16" t="n">
        <x:f>IF(OR('Analysis'!$G$21=0,B50&gt;'Analysis'!$C$13*12),0,IF('Analysis'!$C$12=0,'Analysis'!$G$21/('Analysis'!$C$13*12),'Analysis'!$G$21*(1+'Analysis'!$C$12/12)^-('Analysis'!$C$13*12-B50)*(1-(1+'Analysis'!$C$12/12)^-1)/(1-(1+'Analysis'!$C$12/12)^-('Analysis'!$C$13*12))))</x:f>
        <x:v>109.82485711096732</x:v>
      </x:c>
      <x:c r="H50" s="16" t="n">
        <x:f>IF(B50&gt;='Analysis'!$C$13*12,0,MAX(0,D50-G50))</x:f>
        <x:v>108176.80954463438</x:v>
      </x:c>
    </x:row>
    <x:row r="51" ht="22" customHeight="1">
      <x:c r="A51" s="2"/>
      <x:c r="B51" s="41" t="n">
        <x:f>46</x:f>
        <x:v>46</x:v>
      </x:c>
      <x:c r="C51" s="41" t="n">
        <x:f>ROUNDUP(B51/12,0)</x:f>
        <x:v>4</x:v>
      </x:c>
      <x:c r="D51" s="16" t="n">
        <x:f>H50</x:f>
        <x:v>108176.80954463438</x:v>
      </x:c>
      <x:c r="E51" s="32" t="n">
        <x:f>IF(B51&gt;'Analysis'!$C$13*12,0,'Analysis'!$G$22)</x:f>
        <x:v>786.6163221218766</x:v>
      </x:c>
      <x:c r="F51" s="32" t="n">
        <x:f>MAX(0,E51-G51)</x:f>
        <x:v>676.1050596539657</x:v>
      </x:c>
      <x:c r="G51" s="16" t="n">
        <x:f>IF(OR('Analysis'!$G$21=0,B51&gt;'Analysis'!$C$13*12),0,IF('Analysis'!$C$12=0,'Analysis'!$G$21/('Analysis'!$C$13*12),'Analysis'!$G$21*(1+'Analysis'!$C$12/12)^-('Analysis'!$C$13*12-B51)*(1-(1+'Analysis'!$C$12/12)^-1)/(1-(1+'Analysis'!$C$12/12)^-('Analysis'!$C$13*12))))</x:f>
        <x:v>110.51126246791087</x:v>
      </x:c>
      <x:c r="H51" s="16" t="n">
        <x:f>IF(B51&gt;='Analysis'!$C$13*12,0,MAX(0,D51-G51))</x:f>
        <x:v>108066.29828216646</x:v>
      </x:c>
    </x:row>
    <x:row r="52" ht="22" customHeight="1">
      <x:c r="A52" s="2"/>
      <x:c r="B52" s="41" t="n">
        <x:f>47</x:f>
        <x:v>47</x:v>
      </x:c>
      <x:c r="C52" s="41" t="n">
        <x:f>ROUNDUP(B52/12,0)</x:f>
        <x:v>4</x:v>
      </x:c>
      <x:c r="D52" s="16" t="n">
        <x:f>H51</x:f>
        <x:v>108066.29828216646</x:v>
      </x:c>
      <x:c r="E52" s="32" t="n">
        <x:f>IF(B52&gt;'Analysis'!$C$13*12,0,'Analysis'!$G$22)</x:f>
        <x:v>786.6163221218766</x:v>
      </x:c>
      <x:c r="F52" s="32" t="n">
        <x:f>MAX(0,E52-G52)</x:f>
        <x:v>675.4143642635413</x:v>
      </x:c>
      <x:c r="G52" s="16" t="n">
        <x:f>IF(OR('Analysis'!$G$21=0,B52&gt;'Analysis'!$C$13*12),0,IF('Analysis'!$C$12=0,'Analysis'!$G$21/('Analysis'!$C$13*12),'Analysis'!$G$21*(1+'Analysis'!$C$12/12)^-('Analysis'!$C$13*12-B52)*(1-(1+'Analysis'!$C$12/12)^-1)/(1-(1+'Analysis'!$C$12/12)^-('Analysis'!$C$13*12))))</x:f>
        <x:v>111.20195785833532</x:v>
      </x:c>
      <x:c r="H52" s="16" t="n">
        <x:f>IF(B52&gt;='Analysis'!$C$13*12,0,MAX(0,D52-G52))</x:f>
        <x:v>107955.09632430812</x:v>
      </x:c>
    </x:row>
    <x:row r="53" ht="22" customHeight="1">
      <x:c r="A53" s="2"/>
      <x:c r="B53" s="41" t="n">
        <x:f>48</x:f>
        <x:v>48</x:v>
      </x:c>
      <x:c r="C53" s="41" t="n">
        <x:f>ROUNDUP(B53/12,0)</x:f>
        <x:v>4</x:v>
      </x:c>
      <x:c r="D53" s="16" t="n">
        <x:f>H52</x:f>
        <x:v>107955.09632430812</x:v>
      </x:c>
      <x:c r="E53" s="32" t="n">
        <x:f>IF(B53&gt;'Analysis'!$C$13*12,0,'Analysis'!$G$22)</x:f>
        <x:v>786.6163221218766</x:v>
      </x:c>
      <x:c r="F53" s="32" t="n">
        <x:f>MAX(0,E53-G53)</x:f>
        <x:v>674.7193520269267</x:v>
      </x:c>
      <x:c r="G53" s="16" t="n">
        <x:f>IF(OR('Analysis'!$G$21=0,B53&gt;'Analysis'!$C$13*12),0,IF('Analysis'!$C$12=0,'Analysis'!$G$21/('Analysis'!$C$13*12),'Analysis'!$G$21*(1+'Analysis'!$C$12/12)^-('Analysis'!$C$13*12-B53)*(1-(1+'Analysis'!$C$12/12)^-1)/(1-(1+'Analysis'!$C$12/12)^-('Analysis'!$C$13*12))))</x:f>
        <x:v>111.89697009494992</x:v>
      </x:c>
      <x:c r="H53" s="16" t="n">
        <x:f>IF(B53&gt;='Analysis'!$C$13*12,0,MAX(0,D53-G53))</x:f>
        <x:v>107843.19935421317</x:v>
      </x:c>
    </x:row>
    <x:row r="54" ht="22" customHeight="1">
      <x:c r="A54" s="2"/>
      <x:c r="B54" s="41" t="n">
        <x:f>49</x:f>
        <x:v>49</x:v>
      </x:c>
      <x:c r="C54" s="41" t="n">
        <x:f>ROUNDUP(B54/12,0)</x:f>
        <x:v>5</x:v>
      </x:c>
      <x:c r="D54" s="16" t="n">
        <x:f>H53</x:f>
        <x:v>107843.19935421317</x:v>
      </x:c>
      <x:c r="E54" s="32" t="n">
        <x:f>IF(B54&gt;'Analysis'!$C$13*12,0,'Analysis'!$G$22)</x:f>
        <x:v>786.6163221218766</x:v>
      </x:c>
      <x:c r="F54" s="32" t="n">
        <x:f>MAX(0,E54-G54)</x:f>
        <x:v>674.0199959638333</x:v>
      </x:c>
      <x:c r="G54" s="16" t="n">
        <x:f>IF(OR('Analysis'!$G$21=0,B54&gt;'Analysis'!$C$13*12),0,IF('Analysis'!$C$12=0,'Analysis'!$G$21/('Analysis'!$C$13*12),'Analysis'!$G$21*(1+'Analysis'!$C$12/12)^-('Analysis'!$C$13*12-B54)*(1-(1+'Analysis'!$C$12/12)^-1)/(1-(1+'Analysis'!$C$12/12)^-('Analysis'!$C$13*12))))</x:f>
        <x:v>112.59632615804338</x:v>
      </x:c>
      <x:c r="H54" s="16" t="n">
        <x:f>IF(B54&gt;='Analysis'!$C$13*12,0,MAX(0,D54-G54))</x:f>
        <x:v>107730.60302805512</x:v>
      </x:c>
    </x:row>
    <x:row r="55" ht="22" customHeight="1">
      <x:c r="A55" s="2"/>
      <x:c r="B55" s="41" t="n">
        <x:f>50</x:f>
        <x:v>50</x:v>
      </x:c>
      <x:c r="C55" s="41" t="n">
        <x:f>ROUNDUP(B55/12,0)</x:f>
        <x:v>5</x:v>
      </x:c>
      <x:c r="D55" s="16" t="n">
        <x:f>H54</x:f>
        <x:v>107730.60302805512</x:v>
      </x:c>
      <x:c r="E55" s="32" t="n">
        <x:f>IF(B55&gt;'Analysis'!$C$13*12,0,'Analysis'!$G$22)</x:f>
        <x:v>786.6163221218766</x:v>
      </x:c>
      <x:c r="F55" s="32" t="n">
        <x:f>MAX(0,E55-G55)</x:f>
        <x:v>673.3162689253454</x:v>
      </x:c>
      <x:c r="G55" s="16" t="n">
        <x:f>IF(OR('Analysis'!$G$21=0,B55&gt;'Analysis'!$C$13*12),0,IF('Analysis'!$C$12=0,'Analysis'!$G$21/('Analysis'!$C$13*12),'Analysis'!$G$21*(1+'Analysis'!$C$12/12)^-('Analysis'!$C$13*12-B55)*(1-(1+'Analysis'!$C$12/12)^-1)/(1-(1+'Analysis'!$C$12/12)^-('Analysis'!$C$13*12))))</x:f>
        <x:v>113.30005319653115</x:v>
      </x:c>
      <x:c r="H55" s="16" t="n">
        <x:f>IF(B55&gt;='Analysis'!$C$13*12,0,MAX(0,D55-G55))</x:f>
        <x:v>107617.30297485858</x:v>
      </x:c>
    </x:row>
    <x:row r="56" ht="22" customHeight="1">
      <x:c r="A56" s="2"/>
      <x:c r="B56" s="41" t="n">
        <x:f>51</x:f>
        <x:v>51</x:v>
      </x:c>
      <x:c r="C56" s="41" t="n">
        <x:f>ROUNDUP(B56/12,0)</x:f>
        <x:v>5</x:v>
      </x:c>
      <x:c r="D56" s="16" t="n">
        <x:f>H55</x:f>
        <x:v>107617.30297485858</x:v>
      </x:c>
      <x:c r="E56" s="32" t="n">
        <x:f>IF(B56&gt;'Analysis'!$C$13*12,0,'Analysis'!$G$22)</x:f>
        <x:v>786.6163221218766</x:v>
      </x:c>
      <x:c r="F56" s="32" t="n">
        <x:f>MAX(0,E56-G56)</x:f>
        <x:v>672.6081435928671</x:v>
      </x:c>
      <x:c r="G56" s="16" t="n">
        <x:f>IF(OR('Analysis'!$G$21=0,B56&gt;'Analysis'!$C$13*12),0,IF('Analysis'!$C$12=0,'Analysis'!$G$21/('Analysis'!$C$13*12),'Analysis'!$G$21*(1+'Analysis'!$C$12/12)^-('Analysis'!$C$13*12-B56)*(1-(1+'Analysis'!$C$12/12)^-1)/(1-(1+'Analysis'!$C$12/12)^-('Analysis'!$C$13*12))))</x:f>
        <x:v>114.00817852900947</x:v>
      </x:c>
      <x:c r="H56" s="16" t="n">
        <x:f>IF(B56&gt;='Analysis'!$C$13*12,0,MAX(0,D56-G56))</x:f>
        <x:v>107503.29479632957</x:v>
      </x:c>
    </x:row>
    <x:row r="57" ht="22" customHeight="1">
      <x:c r="A57" s="2"/>
      <x:c r="B57" s="41" t="n">
        <x:f>52</x:f>
        <x:v>52</x:v>
      </x:c>
      <x:c r="C57" s="41" t="n">
        <x:f>ROUNDUP(B57/12,0)</x:f>
        <x:v>5</x:v>
      </x:c>
      <x:c r="D57" s="16" t="n">
        <x:f>H56</x:f>
        <x:v>107503.29479632957</x:v>
      </x:c>
      <x:c r="E57" s="32" t="n">
        <x:f>IF(B57&gt;'Analysis'!$C$13*12,0,'Analysis'!$G$22)</x:f>
        <x:v>786.6163221218766</x:v>
      </x:c>
      <x:c r="F57" s="32" t="n">
        <x:f>MAX(0,E57-G57)</x:f>
        <x:v>671.8955924770607</x:v>
      </x:c>
      <x:c r="G57" s="16" t="n">
        <x:f>IF(OR('Analysis'!$G$21=0,B57&gt;'Analysis'!$C$13*12),0,IF('Analysis'!$C$12=0,'Analysis'!$G$21/('Analysis'!$C$13*12),'Analysis'!$G$21*(1+'Analysis'!$C$12/12)^-('Analysis'!$C$13*12-B57)*(1-(1+'Analysis'!$C$12/12)^-1)/(1-(1+'Analysis'!$C$12/12)^-('Analysis'!$C$13*12))))</x:f>
        <x:v>114.72072964481579</x:v>
      </x:c>
      <x:c r="H57" s="16" t="n">
        <x:f>IF(B57&gt;='Analysis'!$C$13*12,0,MAX(0,D57-G57))</x:f>
        <x:v>107388.57406668476</x:v>
      </x:c>
    </x:row>
    <x:row r="58" ht="22" customHeight="1">
      <x:c r="A58" s="2"/>
      <x:c r="B58" s="41" t="n">
        <x:f>53</x:f>
        <x:v>53</x:v>
      </x:c>
      <x:c r="C58" s="41" t="n">
        <x:f>ROUNDUP(B58/12,0)</x:f>
        <x:v>5</x:v>
      </x:c>
      <x:c r="D58" s="16" t="n">
        <x:f>H57</x:f>
        <x:v>107388.57406668476</x:v>
      </x:c>
      <x:c r="E58" s="32" t="n">
        <x:f>IF(B58&gt;'Analysis'!$C$13*12,0,'Analysis'!$G$22)</x:f>
        <x:v>786.6163221218766</x:v>
      </x:c>
      <x:c r="F58" s="32" t="n">
        <x:f>MAX(0,E58-G58)</x:f>
        <x:v>671.1785879167807</x:v>
      </x:c>
      <x:c r="G58" s="16" t="n">
        <x:f>IF(OR('Analysis'!$G$21=0,B58&gt;'Analysis'!$C$13*12),0,IF('Analysis'!$C$12=0,'Analysis'!$G$21/('Analysis'!$C$13*12),'Analysis'!$G$21*(1+'Analysis'!$C$12/12)^-('Analysis'!$C$13*12-B58)*(1-(1+'Analysis'!$C$12/12)^-1)/(1-(1+'Analysis'!$C$12/12)^-('Analysis'!$C$13*12))))</x:f>
        <x:v>115.43773420509594</x:v>
      </x:c>
      <x:c r="H58" s="16" t="n">
        <x:f>IF(B58&gt;='Analysis'!$C$13*12,0,MAX(0,D58-G58))</x:f>
        <x:v>107273.13633247965</x:v>
      </x:c>
    </x:row>
    <x:row r="59" ht="22" customHeight="1">
      <x:c r="A59" s="2"/>
      <x:c r="B59" s="41" t="n">
        <x:f>54</x:f>
        <x:v>54</x:v>
      </x:c>
      <x:c r="C59" s="41" t="n">
        <x:f>ROUNDUP(B59/12,0)</x:f>
        <x:v>5</x:v>
      </x:c>
      <x:c r="D59" s="16" t="n">
        <x:f>H58</x:f>
        <x:v>107273.13633247965</x:v>
      </x:c>
      <x:c r="E59" s="32" t="n">
        <x:f>IF(B59&gt;'Analysis'!$C$13*12,0,'Analysis'!$G$22)</x:f>
        <x:v>786.6163221218766</x:v>
      </x:c>
      <x:c r="F59" s="32" t="n">
        <x:f>MAX(0,E59-G59)</x:f>
        <x:v>670.4571020779988</x:v>
      </x:c>
      <x:c r="G59" s="16" t="n">
        <x:f>IF(OR('Analysis'!$G$21=0,B59&gt;'Analysis'!$C$13*12),0,IF('Analysis'!$C$12=0,'Analysis'!$G$21/('Analysis'!$C$13*12),'Analysis'!$G$21*(1+'Analysis'!$C$12/12)^-('Analysis'!$C$13*12-B59)*(1-(1+'Analysis'!$C$12/12)^-1)/(1-(1+'Analysis'!$C$12/12)^-('Analysis'!$C$13*12))))</x:f>
        <x:v>116.15922004387778</x:v>
      </x:c>
      <x:c r="H59" s="16" t="n">
        <x:f>IF(B59&gt;='Analysis'!$C$13*12,0,MAX(0,D59-G59))</x:f>
        <x:v>107156.97711243578</x:v>
      </x:c>
    </x:row>
    <x:row r="60" ht="22" customHeight="1">
      <x:c r="A60" s="2"/>
      <x:c r="B60" s="41" t="n">
        <x:f>55</x:f>
        <x:v>55</x:v>
      </x:c>
      <x:c r="C60" s="41" t="n">
        <x:f>ROUNDUP(B60/12,0)</x:f>
        <x:v>5</x:v>
      </x:c>
      <x:c r="D60" s="16" t="n">
        <x:f>H59</x:f>
        <x:v>107156.97711243578</x:v>
      </x:c>
      <x:c r="E60" s="32" t="n">
        <x:f>IF(B60&gt;'Analysis'!$C$13*12,0,'Analysis'!$G$22)</x:f>
        <x:v>786.6163221218766</x:v>
      </x:c>
      <x:c r="F60" s="32" t="n">
        <x:f>MAX(0,E60-G60)</x:f>
        <x:v>669.7311069527245</x:v>
      </x:c>
      <x:c r="G60" s="16" t="n">
        <x:f>IF(OR('Analysis'!$G$21=0,B60&gt;'Analysis'!$C$13*12),0,IF('Analysis'!$C$12=0,'Analysis'!$G$21/('Analysis'!$C$13*12),'Analysis'!$G$21*(1+'Analysis'!$C$12/12)^-('Analysis'!$C$13*12-B60)*(1-(1+'Analysis'!$C$12/12)^-1)/(1-(1+'Analysis'!$C$12/12)^-('Analysis'!$C$13*12))))</x:f>
        <x:v>116.885215169152</x:v>
      </x:c>
      <x:c r="H60" s="16" t="n">
        <x:f>IF(B60&gt;='Analysis'!$C$13*12,0,MAX(0,D60-G60))</x:f>
        <x:v>107040.09189726663</x:v>
      </x:c>
    </x:row>
    <x:row r="61" ht="22" customHeight="1">
      <x:c r="A61" s="2"/>
      <x:c r="B61" s="41" t="n">
        <x:f>56</x:f>
        <x:v>56</x:v>
      </x:c>
      <x:c r="C61" s="41" t="n">
        <x:f>ROUNDUP(B61/12,0)</x:f>
        <x:v>5</x:v>
      </x:c>
      <x:c r="D61" s="16" t="n">
        <x:f>H60</x:f>
        <x:v>107040.09189726663</x:v>
      </x:c>
      <x:c r="E61" s="32" t="n">
        <x:f>IF(B61&gt;'Analysis'!$C$13*12,0,'Analysis'!$G$22)</x:f>
        <x:v>786.6163221218766</x:v>
      </x:c>
      <x:c r="F61" s="32" t="n">
        <x:f>MAX(0,E61-G61)</x:f>
        <x:v>669.0005743579173</x:v>
      </x:c>
      <x:c r="G61" s="16" t="n">
        <x:f>IF(OR('Analysis'!$G$21=0,B61&gt;'Analysis'!$C$13*12),0,IF('Analysis'!$C$12=0,'Analysis'!$G$21/('Analysis'!$C$13*12),'Analysis'!$G$21*(1+'Analysis'!$C$12/12)^-('Analysis'!$C$13*12-B61)*(1-(1+'Analysis'!$C$12/12)^-1)/(1-(1+'Analysis'!$C$12/12)^-('Analysis'!$C$13*12))))</x:f>
        <x:v>117.61574776395923</x:v>
      </x:c>
      <x:c r="H61" s="16" t="n">
        <x:f>IF(B61&gt;='Analysis'!$C$13*12,0,MAX(0,D61-G61))</x:f>
        <x:v>106922.47614950266</x:v>
      </x:c>
    </x:row>
    <x:row r="62" ht="22" customHeight="1">
      <x:c r="A62" s="2"/>
      <x:c r="B62" s="41" t="n">
        <x:f>57</x:f>
        <x:v>57</x:v>
      </x:c>
      <x:c r="C62" s="41" t="n">
        <x:f>ROUNDUP(B62/12,0)</x:f>
        <x:v>5</x:v>
      </x:c>
      <x:c r="D62" s="16" t="n">
        <x:f>H61</x:f>
        <x:v>106922.47614950266</x:v>
      </x:c>
      <x:c r="E62" s="32" t="n">
        <x:f>IF(B62&gt;'Analysis'!$C$13*12,0,'Analysis'!$G$22)</x:f>
        <x:v>786.6163221218766</x:v>
      </x:c>
      <x:c r="F62" s="32" t="n">
        <x:f>MAX(0,E62-G62)</x:f>
        <x:v>668.2654759343926</x:v>
      </x:c>
      <x:c r="G62" s="16" t="n">
        <x:f>IF(OR('Analysis'!$G$21=0,B62&gt;'Analysis'!$C$13*12),0,IF('Analysis'!$C$12=0,'Analysis'!$G$21/('Analysis'!$C$13*12),'Analysis'!$G$21*(1+'Analysis'!$C$12/12)^-('Analysis'!$C$13*12-B62)*(1-(1+'Analysis'!$C$12/12)^-1)/(1-(1+'Analysis'!$C$12/12)^-('Analysis'!$C$13*12))))</x:f>
        <x:v>118.350846187484</x:v>
      </x:c>
      <x:c r="H62" s="16" t="n">
        <x:f>IF(B62&gt;='Analysis'!$C$13*12,0,MAX(0,D62-G62))</x:f>
        <x:v>106804.12530331517</x:v>
      </x:c>
    </x:row>
    <x:row r="63" ht="22" customHeight="1">
      <x:c r="A63" s="2"/>
      <x:c r="B63" s="41" t="n">
        <x:f>58</x:f>
        <x:v>58</x:v>
      </x:c>
      <x:c r="C63" s="41" t="n">
        <x:f>ROUNDUP(B63/12,0)</x:f>
        <x:v>5</x:v>
      </x:c>
      <x:c r="D63" s="16" t="n">
        <x:f>H62</x:f>
        <x:v>106804.12530331517</x:v>
      </x:c>
      <x:c r="E63" s="32" t="n">
        <x:f>IF(B63&gt;'Analysis'!$C$13*12,0,'Analysis'!$G$22)</x:f>
        <x:v>786.6163221218766</x:v>
      </x:c>
      <x:c r="F63" s="32" t="n">
        <x:f>MAX(0,E63-G63)</x:f>
        <x:v>667.5257831457209</x:v>
      </x:c>
      <x:c r="G63" s="16" t="n">
        <x:f>IF(OR('Analysis'!$G$21=0,B63&gt;'Analysis'!$C$13*12),0,IF('Analysis'!$C$12=0,'Analysis'!$G$21/('Analysis'!$C$13*12),'Analysis'!$G$21*(1+'Analysis'!$C$12/12)^-('Analysis'!$C$13*12-B63)*(1-(1+'Analysis'!$C$12/12)^-1)/(1-(1+'Analysis'!$C$12/12)^-('Analysis'!$C$13*12))))</x:f>
        <x:v>119.09053897615576</x:v>
      </x:c>
      <x:c r="H63" s="16" t="n">
        <x:f>IF(B63&gt;='Analysis'!$C$13*12,0,MAX(0,D63-G63))</x:f>
        <x:v>106685.03476433901</x:v>
      </x:c>
    </x:row>
    <x:row r="64" ht="22" customHeight="1">
      <x:c r="A64" s="2"/>
      <x:c r="B64" s="41" t="n">
        <x:f>59</x:f>
        <x:v>59</x:v>
      </x:c>
      <x:c r="C64" s="41" t="n">
        <x:f>ROUNDUP(B64/12,0)</x:f>
        <x:v>5</x:v>
      </x:c>
      <x:c r="D64" s="16" t="n">
        <x:f>H63</x:f>
        <x:v>106685.03476433901</x:v>
      </x:c>
      <x:c r="E64" s="32" t="n">
        <x:f>IF(B64&gt;'Analysis'!$C$13*12,0,'Analysis'!$G$22)</x:f>
        <x:v>786.6163221218766</x:v>
      </x:c>
      <x:c r="F64" s="32" t="n">
        <x:f>MAX(0,E64-G64)</x:f>
        <x:v>666.7814672771199</x:v>
      </x:c>
      <x:c r="G64" s="16" t="n">
        <x:f>IF(OR('Analysis'!$G$21=0,B64&gt;'Analysis'!$C$13*12),0,IF('Analysis'!$C$12=0,'Analysis'!$G$21/('Analysis'!$C$13*12),'Analysis'!$G$21*(1+'Analysis'!$C$12/12)^-('Analysis'!$C$13*12-B64)*(1-(1+'Analysis'!$C$12/12)^-1)/(1-(1+'Analysis'!$C$12/12)^-('Analysis'!$C$13*12))))</x:f>
        <x:v>119.83485484475676</x:v>
      </x:c>
      <x:c r="H64" s="16" t="n">
        <x:f>IF(B64&gt;='Analysis'!$C$13*12,0,MAX(0,D64-G64))</x:f>
        <x:v>106565.19990949426</x:v>
      </x:c>
    </x:row>
    <x:row r="65" ht="22" customHeight="1">
      <x:c r="A65" s="2"/>
      <x:c r="B65" s="41" t="n">
        <x:f>60</x:f>
        <x:v>60</x:v>
      </x:c>
      <x:c r="C65" s="41" t="n">
        <x:f>ROUNDUP(B65/12,0)</x:f>
        <x:v>5</x:v>
      </x:c>
      <x:c r="D65" s="16" t="n">
        <x:f>H64</x:f>
        <x:v>106565.19990949426</x:v>
      </x:c>
      <x:c r="E65" s="32" t="n">
        <x:f>IF(B65&gt;'Analysis'!$C$13*12,0,'Analysis'!$G$22)</x:f>
        <x:v>786.6163221218766</x:v>
      </x:c>
      <x:c r="F65" s="32" t="n">
        <x:f>MAX(0,E65-G65)</x:f>
        <x:v>666.03249943434</x:v>
      </x:c>
      <x:c r="G65" s="16" t="n">
        <x:f>IF(OR('Analysis'!$G$21=0,B65&gt;'Analysis'!$C$13*12),0,IF('Analysis'!$C$12=0,'Analysis'!$G$21/('Analysis'!$C$13*12),'Analysis'!$G$21*(1+'Analysis'!$C$12/12)^-('Analysis'!$C$13*12-B65)*(1-(1+'Analysis'!$C$12/12)^-1)/(1-(1+'Analysis'!$C$12/12)^-('Analysis'!$C$13*12))))</x:f>
        <x:v>120.5838226875365</x:v>
      </x:c>
      <x:c r="H65" s="16" t="n">
        <x:f>IF(B65&gt;='Analysis'!$C$13*12,0,MAX(0,D65-G65))</x:f>
        <x:v>106444.61608680672</x:v>
      </x:c>
    </x:row>
    <x:row r="66" ht="22" customHeight="1">
      <x:c r="A66" s="2"/>
      <x:c r="B66" s="41" t="n">
        <x:f>61</x:f>
        <x:v>61</x:v>
      </x:c>
      <x:c r="C66" s="41" t="n">
        <x:f>ROUNDUP(B66/12,0)</x:f>
        <x:v>6</x:v>
      </x:c>
      <x:c r="D66" s="16" t="n">
        <x:f>H65</x:f>
        <x:v>106444.61608680672</x:v>
      </x:c>
      <x:c r="E66" s="32" t="n">
        <x:f>IF(B66&gt;'Analysis'!$C$13*12,0,'Analysis'!$G$22)</x:f>
        <x:v>786.6163221218766</x:v>
      </x:c>
      <x:c r="F66" s="32" t="n">
        <x:f>MAX(0,E66-G66)</x:f>
        <x:v>665.278850542543</x:v>
      </x:c>
      <x:c r="G66" s="16" t="n">
        <x:f>IF(OR('Analysis'!$G$21=0,B66&gt;'Analysis'!$C$13*12),0,IF('Analysis'!$C$12=0,'Analysis'!$G$21/('Analysis'!$C$13*12),'Analysis'!$G$21*(1+'Analysis'!$C$12/12)^-('Analysis'!$C$13*12-B66)*(1-(1+'Analysis'!$C$12/12)^-1)/(1-(1+'Analysis'!$C$12/12)^-('Analysis'!$C$13*12))))</x:f>
        <x:v>121.33747157933364</x:v>
      </x:c>
      <x:c r="H66" s="16" t="n">
        <x:f>IF(B66&gt;='Analysis'!$C$13*12,0,MAX(0,D66-G66))</x:f>
        <x:v>106323.27861522739</x:v>
      </x:c>
    </x:row>
    <x:row r="67" ht="22" customHeight="1">
      <x:c r="A67" s="2"/>
      <x:c r="B67" s="41" t="n">
        <x:f>62</x:f>
        <x:v>62</x:v>
      </x:c>
      <x:c r="C67" s="41" t="n">
        <x:f>ROUNDUP(B67/12,0)</x:f>
        <x:v>6</x:v>
      </x:c>
      <x:c r="D67" s="16" t="n">
        <x:f>H66</x:f>
        <x:v>106323.27861522739</x:v>
      </x:c>
      <x:c r="E67" s="32" t="n">
        <x:f>IF(B67&gt;'Analysis'!$C$13*12,0,'Analysis'!$G$22)</x:f>
        <x:v>786.6163221218766</x:v>
      </x:c>
      <x:c r="F67" s="32" t="n">
        <x:f>MAX(0,E67-G67)</x:f>
        <x:v>664.5204913451721</x:v>
      </x:c>
      <x:c r="G67" s="16" t="n">
        <x:f>IF(OR('Analysis'!$G$21=0,B67&gt;'Analysis'!$C$13*12),0,IF('Analysis'!$C$12=0,'Analysis'!$G$21/('Analysis'!$C$13*12),'Analysis'!$G$21*(1+'Analysis'!$C$12/12)^-('Analysis'!$C$13*12-B67)*(1-(1+'Analysis'!$C$12/12)^-1)/(1-(1+'Analysis'!$C$12/12)^-('Analysis'!$C$13*12))))</x:f>
        <x:v>122.09583077670446</x:v>
      </x:c>
      <x:c r="H67" s="16" t="n">
        <x:f>IF(B67&gt;='Analysis'!$C$13*12,0,MAX(0,D67-G67))</x:f>
        <x:v>106201.18278445069</x:v>
      </x:c>
    </x:row>
    <x:row r="68" ht="22" customHeight="1">
      <x:c r="A68" s="2"/>
      <x:c r="B68" s="41" t="n">
        <x:f>63</x:f>
        <x:v>63</x:v>
      </x:c>
      <x:c r="C68" s="41" t="n">
        <x:f>ROUNDUP(B68/12,0)</x:f>
        <x:v>6</x:v>
      </x:c>
      <x:c r="D68" s="16" t="n">
        <x:f>H67</x:f>
        <x:v>106201.18278445069</x:v>
      </x:c>
      <x:c r="E68" s="32" t="n">
        <x:f>IF(B68&gt;'Analysis'!$C$13*12,0,'Analysis'!$G$22)</x:f>
        <x:v>786.6163221218766</x:v>
      </x:c>
      <x:c r="F68" s="32" t="n">
        <x:f>MAX(0,E68-G68)</x:f>
        <x:v>663.7573924028177</x:v>
      </x:c>
      <x:c r="G68" s="16" t="n">
        <x:f>IF(OR('Analysis'!$G$21=0,B68&gt;'Analysis'!$C$13*12),0,IF('Analysis'!$C$12=0,'Analysis'!$G$21/('Analysis'!$C$13*12),'Analysis'!$G$21*(1+'Analysis'!$C$12/12)^-('Analysis'!$C$13*12-B68)*(1-(1+'Analysis'!$C$12/12)^-1)/(1-(1+'Analysis'!$C$12/12)^-('Analysis'!$C$13*12))))</x:f>
        <x:v>122.85892971905888</x:v>
      </x:c>
      <x:c r="H68" s="16" t="n">
        <x:f>IF(B68&gt;='Analysis'!$C$13*12,0,MAX(0,D68-G68))</x:f>
        <x:v>106078.32385473163</x:v>
      </x:c>
    </x:row>
    <x:row r="69" ht="22" customHeight="1">
      <x:c r="A69" s="2"/>
      <x:c r="B69" s="41" t="n">
        <x:f>64</x:f>
        <x:v>64</x:v>
      </x:c>
      <x:c r="C69" s="41" t="n">
        <x:f>ROUNDUP(B69/12,0)</x:f>
        <x:v>6</x:v>
      </x:c>
      <x:c r="D69" s="16" t="n">
        <x:f>H68</x:f>
        <x:v>106078.32385473163</x:v>
      </x:c>
      <x:c r="E69" s="32" t="n">
        <x:f>IF(B69&gt;'Analysis'!$C$13*12,0,'Analysis'!$G$22)</x:f>
        <x:v>786.6163221218766</x:v>
      </x:c>
      <x:c r="F69" s="32" t="n">
        <x:f>MAX(0,E69-G69)</x:f>
        <x:v>662.9895240920736</x:v>
      </x:c>
      <x:c r="G69" s="16" t="n">
        <x:f>IF(OR('Analysis'!$G$21=0,B69&gt;'Analysis'!$C$13*12),0,IF('Analysis'!$C$12=0,'Analysis'!$G$21/('Analysis'!$C$13*12),'Analysis'!$G$21*(1+'Analysis'!$C$12/12)^-('Analysis'!$C$13*12-B69)*(1-(1+'Analysis'!$C$12/12)^-1)/(1-(1+'Analysis'!$C$12/12)^-('Analysis'!$C$13*12))))</x:f>
        <x:v>123.62679802980301</x:v>
      </x:c>
      <x:c r="H69" s="16" t="n">
        <x:f>IF(B69&gt;='Analysis'!$C$13*12,0,MAX(0,D69-G69))</x:f>
        <x:v>105954.69705670183</x:v>
      </x:c>
    </x:row>
    <x:row r="70" ht="22" customHeight="1">
      <x:c r="A70" s="2"/>
      <x:c r="B70" s="41" t="n">
        <x:f>65</x:f>
        <x:v>65</x:v>
      </x:c>
      <x:c r="C70" s="41" t="n">
        <x:f>ROUNDUP(B70/12,0)</x:f>
        <x:v>6</x:v>
      </x:c>
      <x:c r="D70" s="16" t="n">
        <x:f>H69</x:f>
        <x:v>105954.69705670183</x:v>
      </x:c>
      <x:c r="E70" s="32" t="n">
        <x:f>IF(B70&gt;'Analysis'!$C$13*12,0,'Analysis'!$G$22)</x:f>
        <x:v>786.6163221218766</x:v>
      </x:c>
      <x:c r="F70" s="32" t="n">
        <x:f>MAX(0,E70-G70)</x:f>
        <x:v>662.2168566043873</x:v>
      </x:c>
      <x:c r="G70" s="16" t="n">
        <x:f>IF(OR('Analysis'!$G$21=0,B70&gt;'Analysis'!$C$13*12),0,IF('Analysis'!$C$12=0,'Analysis'!$G$21/('Analysis'!$C$13*12),'Analysis'!$G$21*(1+'Analysis'!$C$12/12)^-('Analysis'!$C$13*12-B70)*(1-(1+'Analysis'!$C$12/12)^-1)/(1-(1+'Analysis'!$C$12/12)^-('Analysis'!$C$13*12))))</x:f>
        <x:v>124.39946551748928</x:v>
      </x:c>
      <x:c r="H70" s="16" t="n">
        <x:f>IF(B70&gt;='Analysis'!$C$13*12,0,MAX(0,D70-G70))</x:f>
        <x:v>105830.29759118434</x:v>
      </x:c>
    </x:row>
    <x:row r="71" ht="22" customHeight="1">
      <x:c r="A71" s="2"/>
      <x:c r="B71" s="41" t="n">
        <x:f>66</x:f>
        <x:v>66</x:v>
      </x:c>
      <x:c r="C71" s="41" t="n">
        <x:f>ROUNDUP(B71/12,0)</x:f>
        <x:v>6</x:v>
      </x:c>
      <x:c r="D71" s="16" t="n">
        <x:f>H70</x:f>
        <x:v>105830.29759118434</x:v>
      </x:c>
      <x:c r="E71" s="32" t="n">
        <x:f>IF(B71&gt;'Analysis'!$C$13*12,0,'Analysis'!$G$22)</x:f>
        <x:v>786.6163221218766</x:v>
      </x:c>
      <x:c r="F71" s="32" t="n">
        <x:f>MAX(0,E71-G71)</x:f>
        <x:v>661.439359944903</x:v>
      </x:c>
      <x:c r="G71" s="16" t="n">
        <x:f>IF(OR('Analysis'!$G$21=0,B71&gt;'Analysis'!$C$13*12),0,IF('Analysis'!$C$12=0,'Analysis'!$G$21/('Analysis'!$C$13*12),'Analysis'!$G$21*(1+'Analysis'!$C$12/12)^-('Analysis'!$C$13*12-B71)*(1-(1+'Analysis'!$C$12/12)^-1)/(1-(1+'Analysis'!$C$12/12)^-('Analysis'!$C$13*12))))</x:f>
        <x:v>125.17696217697359</x:v>
      </x:c>
      <x:c r="H71" s="16" t="n">
        <x:f>IF(B71&gt;='Analysis'!$C$13*12,0,MAX(0,D71-G71))</x:f>
        <x:v>105705.12062900736</x:v>
      </x:c>
    </x:row>
    <x:row r="72" ht="22" customHeight="1">
      <x:c r="A72" s="2"/>
      <x:c r="B72" s="41" t="n">
        <x:f>67</x:f>
        <x:v>67</x:v>
      </x:c>
      <x:c r="C72" s="41" t="n">
        <x:f>ROUNDUP(B72/12,0)</x:f>
        <x:v>6</x:v>
      </x:c>
      <x:c r="D72" s="16" t="n">
        <x:f>H71</x:f>
        <x:v>105705.12062900736</x:v>
      </x:c>
      <x:c r="E72" s="32" t="n">
        <x:f>IF(B72&gt;'Analysis'!$C$13*12,0,'Analysis'!$G$22)</x:f>
        <x:v>786.6163221218766</x:v>
      </x:c>
      <x:c r="F72" s="32" t="n">
        <x:f>MAX(0,E72-G72)</x:f>
        <x:v>660.6570039312969</x:v>
      </x:c>
      <x:c r="G72" s="16" t="n">
        <x:f>IF(OR('Analysis'!$G$21=0,B72&gt;'Analysis'!$C$13*12),0,IF('Analysis'!$C$12=0,'Analysis'!$G$21/('Analysis'!$C$13*12),'Analysis'!$G$21*(1+'Analysis'!$C$12/12)^-('Analysis'!$C$13*12-B72)*(1-(1+'Analysis'!$C$12/12)^-1)/(1-(1+'Analysis'!$C$12/12)^-('Analysis'!$C$13*12))))</x:f>
        <x:v>125.9593181905797</x:v>
      </x:c>
      <x:c r="H72" s="16" t="n">
        <x:f>IF(B72&gt;='Analysis'!$C$13*12,0,MAX(0,D72-G72))</x:f>
        <x:v>105579.16131081678</x:v>
      </x:c>
    </x:row>
    <x:row r="73" ht="22" customHeight="1">
      <x:c r="A73" s="2"/>
      <x:c r="B73" s="41" t="n">
        <x:f>68</x:f>
        <x:v>68</x:v>
      </x:c>
      <x:c r="C73" s="41" t="n">
        <x:f>ROUNDUP(B73/12,0)</x:f>
        <x:v>6</x:v>
      </x:c>
      <x:c r="D73" s="16" t="n">
        <x:f>H72</x:f>
        <x:v>105579.16131081678</x:v>
      </x:c>
      <x:c r="E73" s="32" t="n">
        <x:f>IF(B73&gt;'Analysis'!$C$13*12,0,'Analysis'!$G$22)</x:f>
        <x:v>786.6163221218766</x:v>
      </x:c>
      <x:c r="F73" s="32" t="n">
        <x:f>MAX(0,E73-G73)</x:f>
        <x:v>659.8697581926058</x:v>
      </x:c>
      <x:c r="G73" s="16" t="n">
        <x:f>IF(OR('Analysis'!$G$21=0,B73&gt;'Analysis'!$C$13*12),0,IF('Analysis'!$C$12=0,'Analysis'!$G$21/('Analysis'!$C$13*12),'Analysis'!$G$21*(1+'Analysis'!$C$12/12)^-('Analysis'!$C$13*12-B73)*(1-(1+'Analysis'!$C$12/12)^-1)/(1-(1+'Analysis'!$C$12/12)^-('Analysis'!$C$13*12))))</x:f>
        <x:v>126.74656392927085</x:v>
      </x:c>
      <x:c r="H73" s="16" t="n">
        <x:f>IF(B73&gt;='Analysis'!$C$13*12,0,MAX(0,D73-G73))</x:f>
        <x:v>105452.41474688752</x:v>
      </x:c>
    </x:row>
    <x:row r="74" ht="22" customHeight="1">
      <x:c r="A74" s="2"/>
      <x:c r="B74" s="41" t="n">
        <x:f>69</x:f>
        <x:v>69</x:v>
      </x:c>
      <x:c r="C74" s="41" t="n">
        <x:f>ROUNDUP(B74/12,0)</x:f>
        <x:v>6</x:v>
      </x:c>
      <x:c r="D74" s="16" t="n">
        <x:f>H73</x:f>
        <x:v>105452.41474688752</x:v>
      </x:c>
      <x:c r="E74" s="32" t="n">
        <x:f>IF(B74&gt;'Analysis'!$C$13*12,0,'Analysis'!$G$22)</x:f>
        <x:v>786.6163221218766</x:v>
      </x:c>
      <x:c r="F74" s="32" t="n">
        <x:f>MAX(0,E74-G74)</x:f>
        <x:v>659.0775921680478</x:v>
      </x:c>
      <x:c r="G74" s="16" t="n">
        <x:f>IF(OR('Analysis'!$G$21=0,B74&gt;'Analysis'!$C$13*12),0,IF('Analysis'!$C$12=0,'Analysis'!$G$21/('Analysis'!$C$13*12),'Analysis'!$G$21*(1+'Analysis'!$C$12/12)^-('Analysis'!$C$13*12-B74)*(1-(1+'Analysis'!$C$12/12)^-1)/(1-(1+'Analysis'!$C$12/12)^-('Analysis'!$C$13*12))))</x:f>
        <x:v>127.53872995382878</x:v>
      </x:c>
      <x:c r="H74" s="16" t="n">
        <x:f>IF(B74&gt;='Analysis'!$C$13*12,0,MAX(0,D74-G74))</x:f>
        <x:v>105324.87601693369</x:v>
      </x:c>
    </x:row>
    <x:row r="75" ht="22" customHeight="1">
      <x:c r="A75" s="2"/>
      <x:c r="B75" s="41" t="n">
        <x:f>70</x:f>
        <x:v>70</x:v>
      </x:c>
      <x:c r="C75" s="41" t="n">
        <x:f>ROUNDUP(B75/12,0)</x:f>
        <x:v>6</x:v>
      </x:c>
      <x:c r="D75" s="16" t="n">
        <x:f>H74</x:f>
        <x:v>105324.87601693369</x:v>
      </x:c>
      <x:c r="E75" s="32" t="n">
        <x:f>IF(B75&gt;'Analysis'!$C$13*12,0,'Analysis'!$G$22)</x:f>
        <x:v>786.6163221218766</x:v>
      </x:c>
      <x:c r="F75" s="32" t="n">
        <x:f>MAX(0,E75-G75)</x:f>
        <x:v>658.2804751058363</x:v>
      </x:c>
      <x:c r="G75" s="16" t="n">
        <x:f>IF(OR('Analysis'!$G$21=0,B75&gt;'Analysis'!$C$13*12),0,IF('Analysis'!$C$12=0,'Analysis'!$G$21/('Analysis'!$C$13*12),'Analysis'!$G$21*(1+'Analysis'!$C$12/12)^-('Analysis'!$C$13*12-B75)*(1-(1+'Analysis'!$C$12/12)^-1)/(1-(1+'Analysis'!$C$12/12)^-('Analysis'!$C$13*12))))</x:f>
        <x:v>128.33584701604022</x:v>
      </x:c>
      <x:c r="H75" s="16" t="n">
        <x:f>IF(B75&gt;='Analysis'!$C$13*12,0,MAX(0,D75-G75))</x:f>
        <x:v>105196.54016991764</x:v>
      </x:c>
    </x:row>
    <x:row r="76" ht="22" customHeight="1">
      <x:c r="A76" s="2"/>
      <x:c r="B76" s="41" t="n">
        <x:f>71</x:f>
        <x:v>71</x:v>
      </x:c>
      <x:c r="C76" s="41" t="n">
        <x:f>ROUNDUP(B76/12,0)</x:f>
        <x:v>6</x:v>
      </x:c>
      <x:c r="D76" s="16" t="n">
        <x:f>H75</x:f>
        <x:v>105196.54016991764</x:v>
      </x:c>
      <x:c r="E76" s="32" t="n">
        <x:f>IF(B76&gt;'Analysis'!$C$13*12,0,'Analysis'!$G$22)</x:f>
        <x:v>786.6163221218766</x:v>
      </x:c>
      <x:c r="F76" s="32" t="n">
        <x:f>MAX(0,E76-G76)</x:f>
        <x:v>657.4783760619862</x:v>
      </x:c>
      <x:c r="G76" s="16" t="n">
        <x:f>IF(OR('Analysis'!$G$21=0,B76&gt;'Analysis'!$C$13*12),0,IF('Analysis'!$C$12=0,'Analysis'!$G$21/('Analysis'!$C$13*12),'Analysis'!$G$21*(1+'Analysis'!$C$12/12)^-('Analysis'!$C$13*12-B76)*(1-(1+'Analysis'!$C$12/12)^-1)/(1-(1+'Analysis'!$C$12/12)^-('Analysis'!$C$13*12))))</x:f>
        <x:v>129.13794605989045</x:v>
      </x:c>
      <x:c r="H76" s="16" t="n">
        <x:f>IF(B76&gt;='Analysis'!$C$13*12,0,MAX(0,D76-G76))</x:f>
        <x:v>105067.40222385776</x:v>
      </x:c>
    </x:row>
    <x:row r="77" ht="22" customHeight="1">
      <x:c r="A77" s="2"/>
      <x:c r="B77" s="41" t="n">
        <x:f>72</x:f>
        <x:v>72</x:v>
      </x:c>
      <x:c r="C77" s="41" t="n">
        <x:f>ROUNDUP(B77/12,0)</x:f>
        <x:v>6</x:v>
      </x:c>
      <x:c r="D77" s="16" t="n">
        <x:f>H76</x:f>
        <x:v>105067.40222385776</x:v>
      </x:c>
      <x:c r="E77" s="32" t="n">
        <x:f>IF(B77&gt;'Analysis'!$C$13*12,0,'Analysis'!$G$22)</x:f>
        <x:v>786.6163221218766</x:v>
      </x:c>
      <x:c r="F77" s="32" t="n">
        <x:f>MAX(0,E77-G77)</x:f>
        <x:v>656.6712638991118</x:v>
      </x:c>
      <x:c r="G77" s="16" t="n">
        <x:f>IF(OR('Analysis'!$G$21=0,B77&gt;'Analysis'!$C$13*12),0,IF('Analysis'!$C$12=0,'Analysis'!$G$21/('Analysis'!$C$13*12),'Analysis'!$G$21*(1+'Analysis'!$C$12/12)^-('Analysis'!$C$13*12-B77)*(1-(1+'Analysis'!$C$12/12)^-1)/(1-(1+'Analysis'!$C$12/12)^-('Analysis'!$C$13*12))))</x:f>
        <x:v>129.94505822276483</x:v>
      </x:c>
      <x:c r="H77" s="16" t="n">
        <x:f>IF(B77&gt;='Analysis'!$C$13*12,0,MAX(0,D77-G77))</x:f>
        <x:v>104937.457165635</x:v>
      </x:c>
    </x:row>
    <x:row r="78" ht="22" customHeight="1">
      <x:c r="A78" s="2"/>
      <x:c r="B78" s="41" t="n">
        <x:f>73</x:f>
        <x:v>73</x:v>
      </x:c>
      <x:c r="C78" s="41" t="n">
        <x:f>ROUNDUP(B78/12,0)</x:f>
        <x:v>7</x:v>
      </x:c>
      <x:c r="D78" s="16" t="n">
        <x:f>H77</x:f>
        <x:v>104937.457165635</x:v>
      </x:c>
      <x:c r="E78" s="32" t="n">
        <x:f>IF(B78&gt;'Analysis'!$C$13*12,0,'Analysis'!$G$22)</x:f>
        <x:v>786.6163221218766</x:v>
      </x:c>
      <x:c r="F78" s="32" t="n">
        <x:f>MAX(0,E78-G78)</x:f>
        <x:v>655.8591072852195</x:v>
      </x:c>
      <x:c r="G78" s="16" t="n">
        <x:f>IF(OR('Analysis'!$G$21=0,B78&gt;'Analysis'!$C$13*12),0,IF('Analysis'!$C$12=0,'Analysis'!$G$21/('Analysis'!$C$13*12),'Analysis'!$G$21*(1+'Analysis'!$C$12/12)^-('Analysis'!$C$13*12-B78)*(1-(1+'Analysis'!$C$12/12)^-1)/(1-(1+'Analysis'!$C$12/12)^-('Analysis'!$C$13*12))))</x:f>
        <x:v>130.7572148366571</x:v>
      </x:c>
      <x:c r="H78" s="16" t="n">
        <x:f>IF(B78&gt;='Analysis'!$C$13*12,0,MAX(0,D78-G78))</x:f>
        <x:v>104806.69995079834</x:v>
      </x:c>
    </x:row>
    <x:row r="79" ht="22" customHeight="1">
      <x:c r="A79" s="2"/>
      <x:c r="B79" s="41" t="n">
        <x:f>74</x:f>
        <x:v>74</x:v>
      </x:c>
      <x:c r="C79" s="41" t="n">
        <x:f>ROUNDUP(B79/12,0)</x:f>
        <x:v>7</x:v>
      </x:c>
      <x:c r="D79" s="16" t="n">
        <x:f>H78</x:f>
        <x:v>104806.69995079834</x:v>
      </x:c>
      <x:c r="E79" s="32" t="n">
        <x:f>IF(B79&gt;'Analysis'!$C$13*12,0,'Analysis'!$G$22)</x:f>
        <x:v>786.6163221218766</x:v>
      </x:c>
      <x:c r="F79" s="32" t="n">
        <x:f>MAX(0,E79-G79)</x:f>
        <x:v>655.0418746924904</x:v>
      </x:c>
      <x:c r="G79" s="16" t="n">
        <x:f>IF(OR('Analysis'!$G$21=0,B79&gt;'Analysis'!$C$13*12),0,IF('Analysis'!$C$12=0,'Analysis'!$G$21/('Analysis'!$C$13*12),'Analysis'!$G$21*(1+'Analysis'!$C$12/12)^-('Analysis'!$C$13*12-B79)*(1-(1+'Analysis'!$C$12/12)^-1)/(1-(1+'Analysis'!$C$12/12)^-('Analysis'!$C$13*12))))</x:f>
        <x:v>131.57444742938623</x:v>
      </x:c>
      <x:c r="H79" s="16" t="n">
        <x:f>IF(B79&gt;='Analysis'!$C$13*12,0,MAX(0,D79-G79))</x:f>
        <x:v>104675.12550336895</x:v>
      </x:c>
    </x:row>
    <x:row r="80" ht="22" customHeight="1">
      <x:c r="A80" s="2"/>
      <x:c r="B80" s="41" t="n">
        <x:f>75</x:f>
        <x:v>75</x:v>
      </x:c>
      <x:c r="C80" s="41" t="n">
        <x:f>ROUNDUP(B80/12,0)</x:f>
        <x:v>7</x:v>
      </x:c>
      <x:c r="D80" s="16" t="n">
        <x:f>H79</x:f>
        <x:v>104675.12550336895</x:v>
      </x:c>
      <x:c r="E80" s="32" t="n">
        <x:f>IF(B80&gt;'Analysis'!$C$13*12,0,'Analysis'!$G$22)</x:f>
        <x:v>786.6163221218766</x:v>
      </x:c>
      <x:c r="F80" s="32" t="n">
        <x:f>MAX(0,E80-G80)</x:f>
        <x:v>654.2195343960567</x:v>
      </x:c>
      <x:c r="G80" s="16" t="n">
        <x:f>IF(OR('Analysis'!$G$21=0,B80&gt;'Analysis'!$C$13*12),0,IF('Analysis'!$C$12=0,'Analysis'!$G$21/('Analysis'!$C$13*12),'Analysis'!$G$21*(1+'Analysis'!$C$12/12)^-('Analysis'!$C$13*12-B80)*(1-(1+'Analysis'!$C$12/12)^-1)/(1-(1+'Analysis'!$C$12/12)^-('Analysis'!$C$13*12))))</x:f>
        <x:v>132.3967877258199</x:v>
      </x:c>
      <x:c r="H80" s="16" t="n">
        <x:f>IF(B80&gt;='Analysis'!$C$13*12,0,MAX(0,D80-G80))</x:f>
        <x:v>104542.72871564313</x:v>
      </x:c>
    </x:row>
    <x:row r="81" ht="22" customHeight="1">
      <x:c r="A81" s="2"/>
      <x:c r="B81" s="41" t="n">
        <x:f>76</x:f>
        <x:v>76</x:v>
      </x:c>
      <x:c r="C81" s="41" t="n">
        <x:f>ROUNDUP(B81/12,0)</x:f>
        <x:v>7</x:v>
      </x:c>
      <x:c r="D81" s="16" t="n">
        <x:f>H80</x:f>
        <x:v>104542.72871564313</x:v>
      </x:c>
      <x:c r="E81" s="32" t="n">
        <x:f>IF(B81&gt;'Analysis'!$C$13*12,0,'Analysis'!$G$22)</x:f>
        <x:v>786.6163221218766</x:v>
      </x:c>
      <x:c r="F81" s="32" t="n">
        <x:f>MAX(0,E81-G81)</x:f>
        <x:v>653.3920544727703</x:v>
      </x:c>
      <x:c r="G81" s="16" t="n">
        <x:f>IF(OR('Analysis'!$G$21=0,B81&gt;'Analysis'!$C$13*12),0,IF('Analysis'!$C$12=0,'Analysis'!$G$21/('Analysis'!$C$13*12),'Analysis'!$G$21*(1+'Analysis'!$C$12/12)^-('Analysis'!$C$13*12-B81)*(1-(1+'Analysis'!$C$12/12)^-1)/(1-(1+'Analysis'!$C$12/12)^-('Analysis'!$C$13*12))))</x:f>
        <x:v>133.22426764910628</x:v>
      </x:c>
      <x:c r="H81" s="16" t="n">
        <x:f>IF(B81&gt;='Analysis'!$C$13*12,0,MAX(0,D81-G81))</x:f>
        <x:v>104409.50444799403</x:v>
      </x:c>
    </x:row>
    <x:row r="82" ht="22" customHeight="1">
      <x:c r="A82" s="2"/>
      <x:c r="B82" s="41" t="n">
        <x:f>77</x:f>
        <x:v>77</x:v>
      </x:c>
      <x:c r="C82" s="41" t="n">
        <x:f>ROUNDUP(B82/12,0)</x:f>
        <x:v>7</x:v>
      </x:c>
      <x:c r="D82" s="16" t="n">
        <x:f>H81</x:f>
        <x:v>104409.50444799403</x:v>
      </x:c>
      <x:c r="E82" s="32" t="n">
        <x:f>IF(B82&gt;'Analysis'!$C$13*12,0,'Analysis'!$G$22)</x:f>
        <x:v>786.6163221218766</x:v>
      </x:c>
      <x:c r="F82" s="32" t="n">
        <x:f>MAX(0,E82-G82)</x:f>
        <x:v>652.5594027999634</x:v>
      </x:c>
      <x:c r="G82" s="16" t="n">
        <x:f>IF(OR('Analysis'!$G$21=0,B82&gt;'Analysis'!$C$13*12),0,IF('Analysis'!$C$12=0,'Analysis'!$G$21/('Analysis'!$C$13*12),'Analysis'!$G$21*(1+'Analysis'!$C$12/12)^-('Analysis'!$C$13*12-B82)*(1-(1+'Analysis'!$C$12/12)^-1)/(1-(1+'Analysis'!$C$12/12)^-('Analysis'!$C$13*12))))</x:f>
        <x:v>134.0569193219132</x:v>
      </x:c>
      <x:c r="H82" s="16" t="n">
        <x:f>IF(B82&gt;='Analysis'!$C$13*12,0,MAX(0,D82-G82))</x:f>
        <x:v>104275.44752867211</x:v>
      </x:c>
    </x:row>
    <x:row r="83" ht="22" customHeight="1">
      <x:c r="A83" s="2"/>
      <x:c r="B83" s="41" t="n">
        <x:f>78</x:f>
        <x:v>78</x:v>
      </x:c>
      <x:c r="C83" s="41" t="n">
        <x:f>ROUNDUP(B83/12,0)</x:f>
        <x:v>7</x:v>
      </x:c>
      <x:c r="D83" s="16" t="n">
        <x:f>H82</x:f>
        <x:v>104275.44752867211</x:v>
      </x:c>
      <x:c r="E83" s="32" t="n">
        <x:f>IF(B83&gt;'Analysis'!$C$13*12,0,'Analysis'!$G$22)</x:f>
        <x:v>786.6163221218766</x:v>
      </x:c>
      <x:c r="F83" s="32" t="n">
        <x:f>MAX(0,E83-G83)</x:f>
        <x:v>651.7215470542014</x:v>
      </x:c>
      <x:c r="G83" s="16" t="n">
        <x:f>IF(OR('Analysis'!$G$21=0,B83&gt;'Analysis'!$C$13*12),0,IF('Analysis'!$C$12=0,'Analysis'!$G$21/('Analysis'!$C$13*12),'Analysis'!$G$21*(1+'Analysis'!$C$12/12)^-('Analysis'!$C$13*12-B83)*(1-(1+'Analysis'!$C$12/12)^-1)/(1-(1+'Analysis'!$C$12/12)^-('Analysis'!$C$13*12))))</x:f>
        <x:v>134.8947750676752</x:v>
      </x:c>
      <x:c r="H83" s="16" t="n">
        <x:f>IF(B83&gt;='Analysis'!$C$13*12,0,MAX(0,D83-G83))</x:f>
        <x:v>104140.55275360444</x:v>
      </x:c>
    </x:row>
    <x:row r="84" ht="22" customHeight="1">
      <x:c r="A84" s="2"/>
      <x:c r="B84" s="41" t="n">
        <x:f>79</x:f>
        <x:v>79</x:v>
      </x:c>
      <x:c r="C84" s="41" t="n">
        <x:f>ROUNDUP(B84/12,0)</x:f>
        <x:v>7</x:v>
      </x:c>
      <x:c r="D84" s="16" t="n">
        <x:f>H83</x:f>
        <x:v>104140.55275360444</x:v>
      </x:c>
      <x:c r="E84" s="32" t="n">
        <x:f>IF(B84&gt;'Analysis'!$C$13*12,0,'Analysis'!$G$22)</x:f>
        <x:v>786.6163221218766</x:v>
      </x:c>
      <x:c r="F84" s="32" t="n">
        <x:f>MAX(0,E84-G84)</x:f>
        <x:v>650.8784547100284</x:v>
      </x:c>
      <x:c r="G84" s="16" t="n">
        <x:f>IF(OR('Analysis'!$G$21=0,B84&gt;'Analysis'!$C$13*12),0,IF('Analysis'!$C$12=0,'Analysis'!$G$21/('Analysis'!$C$13*12),'Analysis'!$G$21*(1+'Analysis'!$C$12/12)^-('Analysis'!$C$13*12-B84)*(1-(1+'Analysis'!$C$12/12)^-1)/(1-(1+'Analysis'!$C$12/12)^-('Analysis'!$C$13*12))))</x:f>
        <x:v>135.73786741184816</x:v>
      </x:c>
      <x:c r="H84" s="16" t="n">
        <x:f>IF(B84&gt;='Analysis'!$C$13*12,0,MAX(0,D84-G84))</x:f>
        <x:v>104004.81488619259</x:v>
      </x:c>
    </x:row>
    <x:row r="85" ht="22" customHeight="1">
      <x:c r="A85" s="2"/>
      <x:c r="B85" s="41" t="n">
        <x:f>80</x:f>
        <x:v>80</x:v>
      </x:c>
      <x:c r="C85" s="41" t="n">
        <x:f>ROUNDUP(B85/12,0)</x:f>
        <x:v>7</x:v>
      </x:c>
      <x:c r="D85" s="16" t="n">
        <x:f>H84</x:f>
        <x:v>104004.81488619259</x:v>
      </x:c>
      <x:c r="E85" s="32" t="n">
        <x:f>IF(B85&gt;'Analysis'!$C$13*12,0,'Analysis'!$G$22)</x:f>
        <x:v>786.6163221218766</x:v>
      </x:c>
      <x:c r="F85" s="32" t="n">
        <x:f>MAX(0,E85-G85)</x:f>
        <x:v>650.0300930387043</x:v>
      </x:c>
      <x:c r="G85" s="16" t="n">
        <x:f>IF(OR('Analysis'!$G$21=0,B85&gt;'Analysis'!$C$13*12),0,IF('Analysis'!$C$12=0,'Analysis'!$G$21/('Analysis'!$C$13*12),'Analysis'!$G$21*(1+'Analysis'!$C$12/12)^-('Analysis'!$C$13*12-B85)*(1-(1+'Analysis'!$C$12/12)^-1)/(1-(1+'Analysis'!$C$12/12)^-('Analysis'!$C$13*12))))</x:f>
        <x:v>136.58622908317224</x:v>
      </x:c>
      <x:c r="H85" s="16" t="n">
        <x:f>IF(B85&gt;='Analysis'!$C$13*12,0,MAX(0,D85-G85))</x:f>
        <x:v>103868.22865710942</x:v>
      </x:c>
    </x:row>
    <x:row r="86" ht="22" customHeight="1">
      <x:c r="A86" s="2"/>
      <x:c r="B86" s="41" t="n">
        <x:f>81</x:f>
        <x:v>81</x:v>
      </x:c>
      <x:c r="C86" s="41" t="n">
        <x:f>ROUNDUP(B86/12,0)</x:f>
        <x:v>7</x:v>
      </x:c>
      <x:c r="D86" s="16" t="n">
        <x:f>H85</x:f>
        <x:v>103868.22865710942</x:v>
      </x:c>
      <x:c r="E86" s="32" t="n">
        <x:f>IF(B86&gt;'Analysis'!$C$13*12,0,'Analysis'!$G$22)</x:f>
        <x:v>786.6163221218766</x:v>
      </x:c>
      <x:c r="F86" s="32" t="n">
        <x:f>MAX(0,E86-G86)</x:f>
        <x:v>649.1764291069345</x:v>
      </x:c>
      <x:c r="G86" s="16" t="n">
        <x:f>IF(OR('Analysis'!$G$21=0,B86&gt;'Analysis'!$C$13*12),0,IF('Analysis'!$C$12=0,'Analysis'!$G$21/('Analysis'!$C$13*12),'Analysis'!$G$21*(1+'Analysis'!$C$12/12)^-('Analysis'!$C$13*12-B86)*(1-(1+'Analysis'!$C$12/12)^-1)/(1-(1+'Analysis'!$C$12/12)^-('Analysis'!$C$13*12))))</x:f>
        <x:v>137.43989301494207</x:v>
      </x:c>
      <x:c r="H86" s="16" t="n">
        <x:f>IF(B86&gt;='Analysis'!$C$13*12,0,MAX(0,D86-G86))</x:f>
        <x:v>103730.78876409447</x:v>
      </x:c>
    </x:row>
    <x:row r="87" ht="22" customHeight="1">
      <x:c r="A87" s="2"/>
      <x:c r="B87" s="41" t="n">
        <x:f>82</x:f>
        <x:v>82</x:v>
      </x:c>
      <x:c r="C87" s="41" t="n">
        <x:f>ROUNDUP(B87/12,0)</x:f>
        <x:v>7</x:v>
      </x:c>
      <x:c r="D87" s="16" t="n">
        <x:f>H86</x:f>
        <x:v>103730.78876409447</x:v>
      </x:c>
      <x:c r="E87" s="32" t="n">
        <x:f>IF(B87&gt;'Analysis'!$C$13*12,0,'Analysis'!$G$22)</x:f>
        <x:v>786.6163221218766</x:v>
      </x:c>
      <x:c r="F87" s="32" t="n">
        <x:f>MAX(0,E87-G87)</x:f>
        <x:v>648.3174297755911</x:v>
      </x:c>
      <x:c r="G87" s="16" t="n">
        <x:f>IF(OR('Analysis'!$G$21=0,B87&gt;'Analysis'!$C$13*12),0,IF('Analysis'!$C$12=0,'Analysis'!$G$21/('Analysis'!$C$13*12),'Analysis'!$G$21*(1+'Analysis'!$C$12/12)^-('Analysis'!$C$13*12-B87)*(1-(1+'Analysis'!$C$12/12)^-1)/(1-(1+'Analysis'!$C$12/12)^-('Analysis'!$C$13*12))))</x:f>
        <x:v>138.29889234628547</x:v>
      </x:c>
      <x:c r="H87" s="16" t="n">
        <x:f>IF(B87&gt;='Analysis'!$C$13*12,0,MAX(0,D87-G87))</x:f>
        <x:v>103592.48987174818</x:v>
      </x:c>
    </x:row>
    <x:row r="88" ht="22" customHeight="1">
      <x:c r="A88" s="2"/>
      <x:c r="B88" s="41" t="n">
        <x:f>83</x:f>
        <x:v>83</x:v>
      </x:c>
      <x:c r="C88" s="41" t="n">
        <x:f>ROUNDUP(B88/12,0)</x:f>
        <x:v>7</x:v>
      </x:c>
      <x:c r="D88" s="16" t="n">
        <x:f>H87</x:f>
        <x:v>103592.48987174818</x:v>
      </x:c>
      <x:c r="E88" s="32" t="n">
        <x:f>IF(B88&gt;'Analysis'!$C$13*12,0,'Analysis'!$G$22)</x:f>
        <x:v>786.6163221218766</x:v>
      </x:c>
      <x:c r="F88" s="32" t="n">
        <x:f>MAX(0,E88-G88)</x:f>
        <x:v>647.4530616984268</x:v>
      </x:c>
      <x:c r="G88" s="16" t="n">
        <x:f>IF(OR('Analysis'!$G$21=0,B88&gt;'Analysis'!$C$13*12),0,IF('Analysis'!$C$12=0,'Analysis'!$G$21/('Analysis'!$C$13*12),'Analysis'!$G$21*(1+'Analysis'!$C$12/12)^-('Analysis'!$C$13*12-B88)*(1-(1+'Analysis'!$C$12/12)^-1)/(1-(1+'Analysis'!$C$12/12)^-('Analysis'!$C$13*12))))</x:f>
        <x:v>139.16326042344977</x:v>
      </x:c>
      <x:c r="H88" s="16" t="n">
        <x:f>IF(B88&gt;='Analysis'!$C$13*12,0,MAX(0,D88-G88))</x:f>
        <x:v>103453.32661132474</x:v>
      </x:c>
    </x:row>
    <x:row r="89" ht="22" customHeight="1">
      <x:c r="A89" s="2"/>
      <x:c r="B89" s="41" t="n">
        <x:f>84</x:f>
        <x:v>84</x:v>
      </x:c>
      <x:c r="C89" s="41" t="n">
        <x:f>ROUNDUP(B89/12,0)</x:f>
        <x:v>7</x:v>
      </x:c>
      <x:c r="D89" s="16" t="n">
        <x:f>H88</x:f>
        <x:v>103453.32661132474</x:v>
      </x:c>
      <x:c r="E89" s="32" t="n">
        <x:f>IF(B89&gt;'Analysis'!$C$13*12,0,'Analysis'!$G$22)</x:f>
        <x:v>786.6163221218766</x:v>
      </x:c>
      <x:c r="F89" s="32" t="n">
        <x:f>MAX(0,E89-G89)</x:f>
        <x:v>646.5832913207803</x:v>
      </x:c>
      <x:c r="G89" s="16" t="n">
        <x:f>IF(OR('Analysis'!$G$21=0,B89&gt;'Analysis'!$C$13*12),0,IF('Analysis'!$C$12=0,'Analysis'!$G$21/('Analysis'!$C$13*12),'Analysis'!$G$21*(1+'Analysis'!$C$12/12)^-('Analysis'!$C$13*12-B89)*(1-(1+'Analysis'!$C$12/12)^-1)/(1-(1+'Analysis'!$C$12/12)^-('Analysis'!$C$13*12))))</x:f>
        <x:v>140.03303080109634</x:v>
      </x:c>
      <x:c r="H89" s="16" t="n">
        <x:f>IF(B89&gt;='Analysis'!$C$13*12,0,MAX(0,D89-G89))</x:f>
        <x:v>103313.29358052363</x:v>
      </x:c>
    </x:row>
    <x:row r="90" ht="22" customHeight="1">
      <x:c r="A90" s="2"/>
      <x:c r="B90" s="41" t="n">
        <x:f>85</x:f>
        <x:v>85</x:v>
      </x:c>
      <x:c r="C90" s="41" t="n">
        <x:f>ROUNDUP(B90/12,0)</x:f>
        <x:v>8</x:v>
      </x:c>
      <x:c r="D90" s="16" t="n">
        <x:f>H89</x:f>
        <x:v>103313.29358052363</x:v>
      </x:c>
      <x:c r="E90" s="32" t="n">
        <x:f>IF(B90&gt;'Analysis'!$C$13*12,0,'Analysis'!$G$22)</x:f>
        <x:v>786.6163221218766</x:v>
      </x:c>
      <x:c r="F90" s="32" t="n">
        <x:f>MAX(0,E90-G90)</x:f>
        <x:v>645.7080848782734</x:v>
      </x:c>
      <x:c r="G90" s="16" t="n">
        <x:f>IF(OR('Analysis'!$G$21=0,B90&gt;'Analysis'!$C$13*12),0,IF('Analysis'!$C$12=0,'Analysis'!$G$21/('Analysis'!$C$13*12),'Analysis'!$G$21*(1+'Analysis'!$C$12/12)^-('Analysis'!$C$13*12-B90)*(1-(1+'Analysis'!$C$12/12)^-1)/(1-(1+'Analysis'!$C$12/12)^-('Analysis'!$C$13*12))))</x:f>
        <x:v>140.9082372436032</x:v>
      </x:c>
      <x:c r="H90" s="16" t="n">
        <x:f>IF(B90&gt;='Analysis'!$C$13*12,0,MAX(0,D90-G90))</x:f>
        <x:v>103172.38534328002</x:v>
      </x:c>
    </x:row>
    <x:row r="91" ht="22" customHeight="1">
      <x:c r="A91" s="2"/>
      <x:c r="B91" s="41" t="n">
        <x:f>86</x:f>
        <x:v>86</x:v>
      </x:c>
      <x:c r="C91" s="41" t="n">
        <x:f>ROUNDUP(B91/12,0)</x:f>
        <x:v>8</x:v>
      </x:c>
      <x:c r="D91" s="16" t="n">
        <x:f>H90</x:f>
        <x:v>103172.38534328002</x:v>
      </x:c>
      <x:c r="E91" s="32" t="n">
        <x:f>IF(B91&gt;'Analysis'!$C$13*12,0,'Analysis'!$G$22)</x:f>
        <x:v>786.6163221218766</x:v>
      </x:c>
      <x:c r="F91" s="32" t="n">
        <x:f>MAX(0,E91-G91)</x:f>
        <x:v>644.8274083955008</x:v>
      </x:c>
      <x:c r="G91" s="16" t="n">
        <x:f>IF(OR('Analysis'!$G$21=0,B91&gt;'Analysis'!$C$13*12),0,IF('Analysis'!$C$12=0,'Analysis'!$G$21/('Analysis'!$C$13*12),'Analysis'!$G$21*(1+'Analysis'!$C$12/12)^-('Analysis'!$C$13*12-B91)*(1-(1+'Analysis'!$C$12/12)^-1)/(1-(1+'Analysis'!$C$12/12)^-('Analysis'!$C$13*12))))</x:f>
        <x:v>141.78891372637574</x:v>
      </x:c>
      <x:c r="H91" s="16" t="n">
        <x:f>IF(B91&gt;='Analysis'!$C$13*12,0,MAX(0,D91-G91))</x:f>
        <x:v>103030.59642955365</x:v>
      </x:c>
    </x:row>
    <x:row r="92" ht="22" customHeight="1">
      <x:c r="A92" s="2"/>
      <x:c r="B92" s="41" t="n">
        <x:f>87</x:f>
        <x:v>87</x:v>
      </x:c>
      <x:c r="C92" s="41" t="n">
        <x:f>ROUNDUP(B92/12,0)</x:f>
        <x:v>8</x:v>
      </x:c>
      <x:c r="D92" s="16" t="n">
        <x:f>H91</x:f>
        <x:v>103030.59642955365</x:v>
      </x:c>
      <x:c r="E92" s="32" t="n">
        <x:f>IF(B92&gt;'Analysis'!$C$13*12,0,'Analysis'!$G$22)</x:f>
        <x:v>786.6163221218766</x:v>
      </x:c>
      <x:c r="F92" s="32" t="n">
        <x:f>MAX(0,E92-G92)</x:f>
        <x:v>643.941227684711</x:v>
      </x:c>
      <x:c r="G92" s="16" t="n">
        <x:f>IF(OR('Analysis'!$G$21=0,B92&gt;'Analysis'!$C$13*12),0,IF('Analysis'!$C$12=0,'Analysis'!$G$21/('Analysis'!$C$13*12),'Analysis'!$G$21*(1+'Analysis'!$C$12/12)^-('Analysis'!$C$13*12-B92)*(1-(1+'Analysis'!$C$12/12)^-1)/(1-(1+'Analysis'!$C$12/12)^-('Analysis'!$C$13*12))))</x:f>
        <x:v>142.6750944371656</x:v>
      </x:c>
      <x:c r="H92" s="16" t="n">
        <x:f>IF(B92&gt;='Analysis'!$C$13*12,0,MAX(0,D92-G92))</x:f>
        <x:v>102887.9213351165</x:v>
      </x:c>
    </x:row>
    <x:row r="93" ht="22" customHeight="1">
      <x:c r="A93" s="2"/>
      <x:c r="B93" s="41" t="n">
        <x:f>88</x:f>
        <x:v>88</x:v>
      </x:c>
      <x:c r="C93" s="41" t="n">
        <x:f>ROUNDUP(B93/12,0)</x:f>
        <x:v>8</x:v>
      </x:c>
      <x:c r="D93" s="16" t="n">
        <x:f>H92</x:f>
        <x:v>102887.9213351165</x:v>
      </x:c>
      <x:c r="E93" s="32" t="n">
        <x:f>IF(B93&gt;'Analysis'!$C$13*12,0,'Analysis'!$G$22)</x:f>
        <x:v>786.6163221218766</x:v>
      </x:c>
      <x:c r="F93" s="32" t="n">
        <x:f>MAX(0,E93-G93)</x:f>
        <x:v>643.0495083444787</x:v>
      </x:c>
      <x:c r="G93" s="16" t="n">
        <x:f>IF(OR('Analysis'!$G$21=0,B93&gt;'Analysis'!$C$13*12),0,IF('Analysis'!$C$12=0,'Analysis'!$G$21/('Analysis'!$C$13*12),'Analysis'!$G$21*(1+'Analysis'!$C$12/12)^-('Analysis'!$C$13*12-B93)*(1-(1+'Analysis'!$C$12/12)^-1)/(1-(1+'Analysis'!$C$12/12)^-('Analysis'!$C$13*12))))</x:f>
        <x:v>143.5668137773979</x:v>
      </x:c>
      <x:c r="H93" s="16" t="n">
        <x:f>IF(B93&gt;='Analysis'!$C$13*12,0,MAX(0,D93-G93))</x:f>
        <x:v>102744.35452133909</x:v>
      </x:c>
    </x:row>
    <x:row r="94" ht="22" customHeight="1">
      <x:c r="A94" s="2"/>
      <x:c r="B94" s="41" t="n">
        <x:f>89</x:f>
        <x:v>89</x:v>
      </x:c>
      <x:c r="C94" s="41" t="n">
        <x:f>ROUNDUP(B94/12,0)</x:f>
        <x:v>8</x:v>
      </x:c>
      <x:c r="D94" s="16" t="n">
        <x:f>H93</x:f>
        <x:v>102744.35452133909</x:v>
      </x:c>
      <x:c r="E94" s="32" t="n">
        <x:f>IF(B94&gt;'Analysis'!$C$13*12,0,'Analysis'!$G$22)</x:f>
        <x:v>786.6163221218766</x:v>
      </x:c>
      <x:c r="F94" s="32" t="n">
        <x:f>MAX(0,E94-G94)</x:f>
        <x:v>642.15221575837</x:v>
      </x:c>
      <x:c r="G94" s="16" t="n">
        <x:f>IF(OR('Analysis'!$G$21=0,B94&gt;'Analysis'!$C$13*12),0,IF('Analysis'!$C$12=0,'Analysis'!$G$21/('Analysis'!$C$13*12),'Analysis'!$G$21*(1+'Analysis'!$C$12/12)^-('Analysis'!$C$13*12-B94)*(1-(1+'Analysis'!$C$12/12)^-1)/(1-(1+'Analysis'!$C$12/12)^-('Analysis'!$C$13*12))))</x:f>
        <x:v>144.46410636350663</x:v>
      </x:c>
      <x:c r="H94" s="16" t="n">
        <x:f>IF(B94&gt;='Analysis'!$C$13*12,0,MAX(0,D94-G94))</x:f>
        <x:v>102599.89041497558</x:v>
      </x:c>
    </x:row>
    <x:row r="95" ht="22" customHeight="1">
      <x:c r="A95" s="2"/>
      <x:c r="B95" s="41" t="n">
        <x:f>90</x:f>
        <x:v>90</x:v>
      </x:c>
      <x:c r="C95" s="41" t="n">
        <x:f>ROUNDUP(B95/12,0)</x:f>
        <x:v>8</x:v>
      </x:c>
      <x:c r="D95" s="16" t="n">
        <x:f>H94</x:f>
        <x:v>102599.89041497558</x:v>
      </x:c>
      <x:c r="E95" s="32" t="n">
        <x:f>IF(B95&gt;'Analysis'!$C$13*12,0,'Analysis'!$G$22)</x:f>
        <x:v>786.6163221218766</x:v>
      </x:c>
      <x:c r="F95" s="32" t="n">
        <x:f>MAX(0,E95-G95)</x:f>
        <x:v>641.2493150935979</x:v>
      </x:c>
      <x:c r="G95" s="16" t="n">
        <x:f>IF(OR('Analysis'!$G$21=0,B95&gt;'Analysis'!$C$13*12),0,IF('Analysis'!$C$12=0,'Analysis'!$G$21/('Analysis'!$C$13*12),'Analysis'!$G$21*(1+'Analysis'!$C$12/12)^-('Analysis'!$C$13*12-B95)*(1-(1+'Analysis'!$C$12/12)^-1)/(1-(1+'Analysis'!$C$12/12)^-('Analysis'!$C$13*12))))</x:f>
        <x:v>145.36700702827858</x:v>
      </x:c>
      <x:c r="H95" s="16" t="n">
        <x:f>IF(B95&gt;='Analysis'!$C$13*12,0,MAX(0,D95-G95))</x:f>
        <x:v>102454.5234079473</x:v>
      </x:c>
    </x:row>
    <x:row r="96" ht="22" customHeight="1">
      <x:c r="A96" s="2"/>
      <x:c r="B96" s="41" t="n">
        <x:f>91</x:f>
        <x:v>91</x:v>
      </x:c>
      <x:c r="C96" s="41" t="n">
        <x:f>ROUNDUP(B96/12,0)</x:f>
        <x:v>8</x:v>
      </x:c>
      <x:c r="D96" s="16" t="n">
        <x:f>H95</x:f>
        <x:v>102454.5234079473</x:v>
      </x:c>
      <x:c r="E96" s="32" t="n">
        <x:f>IF(B96&gt;'Analysis'!$C$13*12,0,'Analysis'!$G$22)</x:f>
        <x:v>786.6163221218766</x:v>
      </x:c>
      <x:c r="F96" s="32" t="n">
        <x:f>MAX(0,E96-G96)</x:f>
        <x:v>640.3407712996712</x:v>
      </x:c>
      <x:c r="G96" s="16" t="n">
        <x:f>IF(OR('Analysis'!$G$21=0,B96&gt;'Analysis'!$C$13*12),0,IF('Analysis'!$C$12=0,'Analysis'!$G$21/('Analysis'!$C$13*12),'Analysis'!$G$21*(1+'Analysis'!$C$12/12)^-('Analysis'!$C$13*12-B96)*(1-(1+'Analysis'!$C$12/12)^-1)/(1-(1+'Analysis'!$C$12/12)^-('Analysis'!$C$13*12))))</x:f>
        <x:v>146.27555082220533</x:v>
      </x:c>
      <x:c r="H96" s="16" t="n">
        <x:f>IF(B96&gt;='Analysis'!$C$13*12,0,MAX(0,D96-G96))</x:f>
        <x:v>102308.2478571251</x:v>
      </x:c>
    </x:row>
    <x:row r="97" ht="22" customHeight="1">
      <x:c r="A97" s="2"/>
      <x:c r="B97" s="41" t="n">
        <x:f>92</x:f>
        <x:v>92</x:v>
      </x:c>
      <x:c r="C97" s="41" t="n">
        <x:f>ROUNDUP(B97/12,0)</x:f>
        <x:v>8</x:v>
      </x:c>
      <x:c r="D97" s="16" t="n">
        <x:f>H96</x:f>
        <x:v>102308.2478571251</x:v>
      </x:c>
      <x:c r="E97" s="32" t="n">
        <x:f>IF(B97&gt;'Analysis'!$C$13*12,0,'Analysis'!$G$22)</x:f>
        <x:v>786.6163221218766</x:v>
      </x:c>
      <x:c r="F97" s="32" t="n">
        <x:f>MAX(0,E97-G97)</x:f>
        <x:v>639.4265491070324</x:v>
      </x:c>
      <x:c r="G97" s="16" t="n">
        <x:f>IF(OR('Analysis'!$G$21=0,B97&gt;'Analysis'!$C$13*12),0,IF('Analysis'!$C$12=0,'Analysis'!$G$21/('Analysis'!$C$13*12),'Analysis'!$G$21*(1+'Analysis'!$C$12/12)^-('Analysis'!$C$13*12-B97)*(1-(1+'Analysis'!$C$12/12)^-1)/(1-(1+'Analysis'!$C$12/12)^-('Analysis'!$C$13*12))))</x:f>
        <x:v>147.18977301484412</x:v>
      </x:c>
      <x:c r="H97" s="16" t="n">
        <x:f>IF(B97&gt;='Analysis'!$C$13*12,0,MAX(0,D97-G97))</x:f>
        <x:v>102161.05808411025</x:v>
      </x:c>
    </x:row>
    <x:row r="98" ht="22" customHeight="1">
      <x:c r="A98" s="2"/>
      <x:c r="B98" s="41" t="n">
        <x:f>93</x:f>
        <x:v>93</x:v>
      </x:c>
      <x:c r="C98" s="41" t="n">
        <x:f>ROUNDUP(B98/12,0)</x:f>
        <x:v>8</x:v>
      </x:c>
      <x:c r="D98" s="16" t="n">
        <x:f>H97</x:f>
        <x:v>102161.05808411025</x:v>
      </x:c>
      <x:c r="E98" s="32" t="n">
        <x:f>IF(B98&gt;'Analysis'!$C$13*12,0,'Analysis'!$G$22)</x:f>
        <x:v>786.6163221218766</x:v>
      </x:c>
      <x:c r="F98" s="32" t="n">
        <x:f>MAX(0,E98-G98)</x:f>
        <x:v>638.5066130256897</x:v>
      </x:c>
      <x:c r="G98" s="16" t="n">
        <x:f>IF(OR('Analysis'!$G$21=0,B98&gt;'Analysis'!$C$13*12),0,IF('Analysis'!$C$12=0,'Analysis'!$G$21/('Analysis'!$C$13*12),'Analysis'!$G$21*(1+'Analysis'!$C$12/12)^-('Analysis'!$C$13*12-B98)*(1-(1+'Analysis'!$C$12/12)^-1)/(1-(1+'Analysis'!$C$12/12)^-('Analysis'!$C$13*12))))</x:f>
        <x:v>148.1097090961869</x:v>
      </x:c>
      <x:c r="H98" s="16" t="n">
        <x:f>IF(B98&gt;='Analysis'!$C$13*12,0,MAX(0,D98-G98))</x:f>
        <x:v>102012.94837501406</x:v>
      </x:c>
    </x:row>
    <x:row r="99" ht="22" customHeight="1">
      <x:c r="A99" s="2"/>
      <x:c r="B99" s="41" t="n">
        <x:f>94</x:f>
        <x:v>94</x:v>
      </x:c>
      <x:c r="C99" s="41" t="n">
        <x:f>ROUNDUP(B99/12,0)</x:f>
        <x:v>8</x:v>
      </x:c>
      <x:c r="D99" s="16" t="n">
        <x:f>H98</x:f>
        <x:v>102012.94837501406</x:v>
      </x:c>
      <x:c r="E99" s="32" t="n">
        <x:f>IF(B99&gt;'Analysis'!$C$13*12,0,'Analysis'!$G$22)</x:f>
        <x:v>786.6163221218766</x:v>
      </x:c>
      <x:c r="F99" s="32" t="n">
        <x:f>MAX(0,E99-G99)</x:f>
        <x:v>637.5809273438385</x:v>
      </x:c>
      <x:c r="G99" s="16" t="n">
        <x:f>IF(OR('Analysis'!$G$21=0,B99&gt;'Analysis'!$C$13*12),0,IF('Analysis'!$C$12=0,'Analysis'!$G$21/('Analysis'!$C$13*12),'Analysis'!$G$21*(1+'Analysis'!$C$12/12)^-('Analysis'!$C$13*12-B99)*(1-(1+'Analysis'!$C$12/12)^-1)/(1-(1+'Analysis'!$C$12/12)^-('Analysis'!$C$13*12))))</x:f>
        <x:v>149.0353947780381</x:v>
      </x:c>
      <x:c r="H99" s="16" t="n">
        <x:f>IF(B99&gt;='Analysis'!$C$13*12,0,MAX(0,D99-G99))</x:f>
        <x:v>101863.91298023603</x:v>
      </x:c>
    </x:row>
    <x:row r="100" ht="22" customHeight="1">
      <x:c r="A100" s="2"/>
      <x:c r="B100" s="41" t="n">
        <x:f>95</x:f>
        <x:v>95</x:v>
      </x:c>
      <x:c r="C100" s="41" t="n">
        <x:f>ROUNDUP(B100/12,0)</x:f>
        <x:v>8</x:v>
      </x:c>
      <x:c r="D100" s="16" t="n">
        <x:f>H99</x:f>
        <x:v>101863.91298023603</x:v>
      </x:c>
      <x:c r="E100" s="32" t="n">
        <x:f>IF(B100&gt;'Analysis'!$C$13*12,0,'Analysis'!$G$22)</x:f>
        <x:v>786.6163221218766</x:v>
      </x:c>
      <x:c r="F100" s="32" t="n">
        <x:f>MAX(0,E100-G100)</x:f>
        <x:v>636.6494561264758</x:v>
      </x:c>
      <x:c r="G100" s="16" t="n">
        <x:f>IF(OR('Analysis'!$G$21=0,B100&gt;'Analysis'!$C$13*12),0,IF('Analysis'!$C$12=0,'Analysis'!$G$21/('Analysis'!$C$13*12),'Analysis'!$G$21*(1+'Analysis'!$C$12/12)^-('Analysis'!$C$13*12-B100)*(1-(1+'Analysis'!$C$12/12)^-1)/(1-(1+'Analysis'!$C$12/12)^-('Analysis'!$C$13*12))))</x:f>
        <x:v>149.96686599540084</x:v>
      </x:c>
      <x:c r="H100" s="16" t="n">
        <x:f>IF(B100&gt;='Analysis'!$C$13*12,0,MAX(0,D100-G100))</x:f>
        <x:v>101713.94611424062</x:v>
      </x:c>
    </x:row>
    <x:row r="101" ht="22" customHeight="1">
      <x:c r="A101" s="2"/>
      <x:c r="B101" s="41" t="n">
        <x:f>96</x:f>
        <x:v>96</x:v>
      </x:c>
      <x:c r="C101" s="41" t="n">
        <x:f>ROUNDUP(B101/12,0)</x:f>
        <x:v>8</x:v>
      </x:c>
      <x:c r="D101" s="16" t="n">
        <x:f>H100</x:f>
        <x:v>101713.94611424062</x:v>
      </x:c>
      <x:c r="E101" s="32" t="n">
        <x:f>IF(B101&gt;'Analysis'!$C$13*12,0,'Analysis'!$G$22)</x:f>
        <x:v>786.6163221218766</x:v>
      </x:c>
      <x:c r="F101" s="32" t="n">
        <x:f>MAX(0,E101-G101)</x:f>
        <x:v>635.7121632140045</x:v>
      </x:c>
      <x:c r="G101" s="16" t="n">
        <x:f>IF(OR('Analysis'!$G$21=0,B101&gt;'Analysis'!$C$13*12),0,IF('Analysis'!$C$12=0,'Analysis'!$G$21/('Analysis'!$C$13*12),'Analysis'!$G$21*(1+'Analysis'!$C$12/12)^-('Analysis'!$C$13*12-B101)*(1-(1+'Analysis'!$C$12/12)^-1)/(1-(1+'Analysis'!$C$12/12)^-('Analysis'!$C$13*12))))</x:f>
        <x:v>150.9041589078721</x:v>
      </x:c>
      <x:c r="H101" s="16" t="n">
        <x:f>IF(B101&gt;='Analysis'!$C$13*12,0,MAX(0,D101-G101))</x:f>
        <x:v>101563.04195533275</x:v>
      </x:c>
    </x:row>
    <x:row r="102" ht="22" customHeight="1">
      <x:c r="A102" s="2"/>
      <x:c r="B102" s="41" t="n">
        <x:f>97</x:f>
        <x:v>97</x:v>
      </x:c>
      <x:c r="C102" s="41" t="n">
        <x:f>ROUNDUP(B102/12,0)</x:f>
        <x:v>9</x:v>
      </x:c>
      <x:c r="D102" s="16" t="n">
        <x:f>H101</x:f>
        <x:v>101563.04195533275</x:v>
      </x:c>
      <x:c r="E102" s="32" t="n">
        <x:f>IF(B102&gt;'Analysis'!$C$13*12,0,'Analysis'!$G$22)</x:f>
        <x:v>786.6163221218766</x:v>
      </x:c>
      <x:c r="F102" s="32" t="n">
        <x:f>MAX(0,E102-G102)</x:f>
        <x:v>634.7690122208303</x:v>
      </x:c>
      <x:c r="G102" s="16" t="n">
        <x:f>IF(OR('Analysis'!$G$21=0,B102&gt;'Analysis'!$C$13*12),0,IF('Analysis'!$C$12=0,'Analysis'!$G$21/('Analysis'!$C$13*12),'Analysis'!$G$21*(1+'Analysis'!$C$12/12)^-('Analysis'!$C$13*12-B102)*(1-(1+'Analysis'!$C$12/12)^-1)/(1-(1+'Analysis'!$C$12/12)^-('Analysis'!$C$13*12))))</x:f>
        <x:v>151.84730990104632</x:v>
      </x:c>
      <x:c r="H102" s="16" t="n">
        <x:f>IF(B102&gt;='Analysis'!$C$13*12,0,MAX(0,D102-G102))</x:f>
        <x:v>101411.19464543171</x:v>
      </x:c>
    </x:row>
    <x:row r="103" ht="22" customHeight="1">
      <x:c r="A103" s="2"/>
      <x:c r="B103" s="41" t="n">
        <x:f>98</x:f>
        <x:v>98</x:v>
      </x:c>
      <x:c r="C103" s="41" t="n">
        <x:f>ROUNDUP(B103/12,0)</x:f>
        <x:v>9</x:v>
      </x:c>
      <x:c r="D103" s="16" t="n">
        <x:f>H102</x:f>
        <x:v>101411.19464543171</x:v>
      </x:c>
      <x:c r="E103" s="32" t="n">
        <x:f>IF(B103&gt;'Analysis'!$C$13*12,0,'Analysis'!$G$22)</x:f>
        <x:v>786.6163221218766</x:v>
      </x:c>
      <x:c r="F103" s="32" t="n">
        <x:f>MAX(0,E103-G103)</x:f>
        <x:v>633.8199665339487</x:v>
      </x:c>
      <x:c r="G103" s="16" t="n">
        <x:f>IF(OR('Analysis'!$G$21=0,B103&gt;'Analysis'!$C$13*12),0,IF('Analysis'!$C$12=0,'Analysis'!$G$21/('Analysis'!$C$13*12),'Analysis'!$G$21*(1+'Analysis'!$C$12/12)^-('Analysis'!$C$13*12-B103)*(1-(1+'Analysis'!$C$12/12)^-1)/(1-(1+'Analysis'!$C$12/12)^-('Analysis'!$C$13*12))))</x:f>
        <x:v>152.79635558792788</x:v>
      </x:c>
      <x:c r="H103" s="16" t="n">
        <x:f>IF(B103&gt;='Analysis'!$C$13*12,0,MAX(0,D103-G103))</x:f>
        <x:v>101258.39828984378</x:v>
      </x:c>
    </x:row>
    <x:row r="104" ht="22" customHeight="1">
      <x:c r="A104" s="2"/>
      <x:c r="B104" s="41" t="n">
        <x:f>99</x:f>
        <x:v>99</x:v>
      </x:c>
      <x:c r="C104" s="41" t="n">
        <x:f>ROUNDUP(B104/12,0)</x:f>
        <x:v>9</x:v>
      </x:c>
      <x:c r="D104" s="16" t="n">
        <x:f>H103</x:f>
        <x:v>101258.39828984378</x:v>
      </x:c>
      <x:c r="E104" s="32" t="n">
        <x:f>IF(B104&gt;'Analysis'!$C$13*12,0,'Analysis'!$G$22)</x:f>
        <x:v>786.6163221218766</x:v>
      </x:c>
      <x:c r="F104" s="32" t="n">
        <x:f>MAX(0,E104-G104)</x:f>
        <x:v>632.8649893115241</x:v>
      </x:c>
      <x:c r="G104" s="16" t="n">
        <x:f>IF(OR('Analysis'!$G$21=0,B104&gt;'Analysis'!$C$13*12),0,IF('Analysis'!$C$12=0,'Analysis'!$G$21/('Analysis'!$C$13*12),'Analysis'!$G$21*(1+'Analysis'!$C$12/12)^-('Analysis'!$C$13*12-B104)*(1-(1+'Analysis'!$C$12/12)^-1)/(1-(1+'Analysis'!$C$12/12)^-('Analysis'!$C$13*12))))</x:f>
        <x:v>153.75133281035244</x:v>
      </x:c>
      <x:c r="H104" s="16" t="n">
        <x:f>IF(B104&gt;='Analysis'!$C$13*12,0,MAX(0,D104-G104))</x:f>
        <x:v>101104.64695703343</x:v>
      </x:c>
    </x:row>
    <x:row r="105" ht="22" customHeight="1">
      <x:c r="A105" s="2"/>
      <x:c r="B105" s="41" t="n">
        <x:f>100</x:f>
        <x:v>100</x:v>
      </x:c>
      <x:c r="C105" s="41" t="n">
        <x:f>ROUNDUP(B105/12,0)</x:f>
        <x:v>9</x:v>
      </x:c>
      <x:c r="D105" s="16" t="n">
        <x:f>H104</x:f>
        <x:v>101104.64695703343</x:v>
      </x:c>
      <x:c r="E105" s="32" t="n">
        <x:f>IF(B105&gt;'Analysis'!$C$13*12,0,'Analysis'!$G$22)</x:f>
        <x:v>786.6163221218766</x:v>
      </x:c>
      <x:c r="F105" s="32" t="n">
        <x:f>MAX(0,E105-G105)</x:f>
        <x:v>631.9040434814594</x:v>
      </x:c>
      <x:c r="G105" s="16" t="n">
        <x:f>IF(OR('Analysis'!$G$21=0,B105&gt;'Analysis'!$C$13*12),0,IF('Analysis'!$C$12=0,'Analysis'!$G$21/('Analysis'!$C$13*12),'Analysis'!$G$21*(1+'Analysis'!$C$12/12)^-('Analysis'!$C$13*12-B105)*(1-(1+'Analysis'!$C$12/12)^-1)/(1-(1+'Analysis'!$C$12/12)^-('Analysis'!$C$13*12))))</x:f>
        <x:v>154.71227864041717</x:v>
      </x:c>
      <x:c r="H105" s="16" t="n">
        <x:f>IF(B105&gt;='Analysis'!$C$13*12,0,MAX(0,D105-G105))</x:f>
        <x:v>100949.93467839301</x:v>
      </x:c>
    </x:row>
    <x:row r="106" ht="22" customHeight="1">
      <x:c r="A106" s="2"/>
      <x:c r="B106" s="41" t="n">
        <x:f>101</x:f>
        <x:v>101</x:v>
      </x:c>
      <x:c r="C106" s="41" t="n">
        <x:f>ROUNDUP(B106/12,0)</x:f>
        <x:v>9</x:v>
      </x:c>
      <x:c r="D106" s="16" t="n">
        <x:f>H105</x:f>
        <x:v>100949.93467839301</x:v>
      </x:c>
      <x:c r="E106" s="32" t="n">
        <x:f>IF(B106&gt;'Analysis'!$C$13*12,0,'Analysis'!$G$22)</x:f>
        <x:v>786.6163221218766</x:v>
      </x:c>
      <x:c r="F106" s="32" t="n">
        <x:f>MAX(0,E106-G106)</x:f>
        <x:v>630.9370917399568</x:v>
      </x:c>
      <x:c r="G106" s="16" t="n">
        <x:f>IF(OR('Analysis'!$G$21=0,B106&gt;'Analysis'!$C$13*12),0,IF('Analysis'!$C$12=0,'Analysis'!$G$21/('Analysis'!$C$13*12),'Analysis'!$G$21*(1+'Analysis'!$C$12/12)^-('Analysis'!$C$13*12-B106)*(1-(1+'Analysis'!$C$12/12)^-1)/(1-(1+'Analysis'!$C$12/12)^-('Analysis'!$C$13*12))))</x:f>
        <x:v>155.67923038191978</x:v>
      </x:c>
      <x:c r="H106" s="16" t="n">
        <x:f>IF(B106&gt;='Analysis'!$C$13*12,0,MAX(0,D106-G106))</x:f>
        <x:v>100794.25544801108</x:v>
      </x:c>
    </x:row>
    <x:row r="107" ht="22" customHeight="1">
      <x:c r="A107" s="2"/>
      <x:c r="B107" s="41" t="n">
        <x:f>102</x:f>
        <x:v>102</x:v>
      </x:c>
      <x:c r="C107" s="41" t="n">
        <x:f>ROUNDUP(B107/12,0)</x:f>
        <x:v>9</x:v>
      </x:c>
      <x:c r="D107" s="16" t="n">
        <x:f>H106</x:f>
        <x:v>100794.25544801108</x:v>
      </x:c>
      <x:c r="E107" s="32" t="n">
        <x:f>IF(B107&gt;'Analysis'!$C$13*12,0,'Analysis'!$G$22)</x:f>
        <x:v>786.6163221218766</x:v>
      </x:c>
      <x:c r="F107" s="32" t="n">
        <x:f>MAX(0,E107-G107)</x:f>
        <x:v>629.9640965500698</x:v>
      </x:c>
      <x:c r="G107" s="16" t="n">
        <x:f>IF(OR('Analysis'!$G$21=0,B107&gt;'Analysis'!$C$13*12),0,IF('Analysis'!$C$12=0,'Analysis'!$G$21/('Analysis'!$C$13*12),'Analysis'!$G$21*(1+'Analysis'!$C$12/12)^-('Analysis'!$C$13*12-B107)*(1-(1+'Analysis'!$C$12/12)^-1)/(1-(1+'Analysis'!$C$12/12)^-('Analysis'!$C$13*12))))</x:f>
        <x:v>156.6522255718068</x:v>
      </x:c>
      <x:c r="H107" s="16" t="n">
        <x:f>IF(B107&gt;='Analysis'!$C$13*12,0,MAX(0,D107-G107))</x:f>
        <x:v>100637.60322243928</x:v>
      </x:c>
    </x:row>
    <x:row r="108" ht="22" customHeight="1">
      <x:c r="A108" s="2"/>
      <x:c r="B108" s="41" t="n">
        <x:f>103</x:f>
        <x:v>103</x:v>
      </x:c>
      <x:c r="C108" s="41" t="n">
        <x:f>ROUNDUP(B108/12,0)</x:f>
        <x:v>9</x:v>
      </x:c>
      <x:c r="D108" s="16" t="n">
        <x:f>H107</x:f>
        <x:v>100637.60322243928</x:v>
      </x:c>
      <x:c r="E108" s="32" t="n">
        <x:f>IF(B108&gt;'Analysis'!$C$13*12,0,'Analysis'!$G$22)</x:f>
        <x:v>786.6163221218766</x:v>
      </x:c>
      <x:c r="F108" s="32" t="n">
        <x:f>MAX(0,E108-G108)</x:f>
        <x:v>628.985020140246</x:v>
      </x:c>
      <x:c r="G108" s="16" t="n">
        <x:f>IF(OR('Analysis'!$G$21=0,B108&gt;'Analysis'!$C$13*12),0,IF('Analysis'!$C$12=0,'Analysis'!$G$21/('Analysis'!$C$13*12),'Analysis'!$G$21*(1+'Analysis'!$C$12/12)^-('Analysis'!$C$13*12-B108)*(1-(1+'Analysis'!$C$12/12)^-1)/(1-(1+'Analysis'!$C$12/12)^-('Analysis'!$C$13*12))))</x:f>
        <x:v>157.6313019816306</x:v>
      </x:c>
      <x:c r="H108" s="16" t="n">
        <x:f>IF(B108&gt;='Analysis'!$C$13*12,0,MAX(0,D108-G108))</x:f>
        <x:v>100479.97192045765</x:v>
      </x:c>
    </x:row>
    <x:row r="109" ht="22" customHeight="1">
      <x:c r="A109" s="2"/>
      <x:c r="B109" s="41" t="n">
        <x:f>104</x:f>
        <x:v>104</x:v>
      </x:c>
      <x:c r="C109" s="41" t="n">
        <x:f>ROUNDUP(B109/12,0)</x:f>
        <x:v>9</x:v>
      </x:c>
      <x:c r="D109" s="16" t="n">
        <x:f>H108</x:f>
        <x:v>100479.97192045765</x:v>
      </x:c>
      <x:c r="E109" s="32" t="n">
        <x:f>IF(B109&gt;'Analysis'!$C$13*12,0,'Analysis'!$G$22)</x:f>
        <x:v>786.6163221218766</x:v>
      </x:c>
      <x:c r="F109" s="32" t="n">
        <x:f>MAX(0,E109-G109)</x:f>
        <x:v>627.9998245028607</x:v>
      </x:c>
      <x:c r="G109" s="16" t="n">
        <x:f>IF(OR('Analysis'!$G$21=0,B109&gt;'Analysis'!$C$13*12),0,IF('Analysis'!$C$12=0,'Analysis'!$G$21/('Analysis'!$C$13*12),'Analysis'!$G$21*(1+'Analysis'!$C$12/12)^-('Analysis'!$C$13*12-B109)*(1-(1+'Analysis'!$C$12/12)^-1)/(1-(1+'Analysis'!$C$12/12)^-('Analysis'!$C$13*12))))</x:f>
        <x:v>158.6164976190158</x:v>
      </x:c>
      <x:c r="H109" s="16" t="n">
        <x:f>IF(B109&gt;='Analysis'!$C$13*12,0,MAX(0,D109-G109))</x:f>
        <x:v>100321.35542283863</x:v>
      </x:c>
    </x:row>
    <x:row r="110" ht="22" customHeight="1">
      <x:c r="A110" s="2"/>
      <x:c r="B110" s="41" t="n">
        <x:f>105</x:f>
        <x:v>105</x:v>
      </x:c>
      <x:c r="C110" s="41" t="n">
        <x:f>ROUNDUP(B110/12,0)</x:f>
        <x:v>9</x:v>
      </x:c>
      <x:c r="D110" s="16" t="n">
        <x:f>H109</x:f>
        <x:v>100321.35542283863</x:v>
      </x:c>
      <x:c r="E110" s="32" t="n">
        <x:f>IF(B110&gt;'Analysis'!$C$13*12,0,'Analysis'!$G$22)</x:f>
        <x:v>786.6163221218766</x:v>
      </x:c>
      <x:c r="F110" s="32" t="n">
        <x:f>MAX(0,E110-G110)</x:f>
        <x:v>627.008471392742</x:v>
      </x:c>
      <x:c r="G110" s="16" t="n">
        <x:f>IF(OR('Analysis'!$G$21=0,B110&gt;'Analysis'!$C$13*12),0,IF('Analysis'!$C$12=0,'Analysis'!$G$21/('Analysis'!$C$13*12),'Analysis'!$G$21*(1+'Analysis'!$C$12/12)^-('Analysis'!$C$13*12-B110)*(1-(1+'Analysis'!$C$12/12)^-1)/(1-(1+'Analysis'!$C$12/12)^-('Analysis'!$C$13*12))))</x:f>
        <x:v>159.60785072913467</x:v>
      </x:c>
      <x:c r="H110" s="16" t="n">
        <x:f>IF(B110&gt;='Analysis'!$C$13*12,0,MAX(0,D110-G110))</x:f>
        <x:v>100161.7475721095</x:v>
      </x:c>
    </x:row>
    <x:row r="111" ht="22" customHeight="1">
      <x:c r="A111" s="2"/>
      <x:c r="B111" s="41" t="n">
        <x:f>106</x:f>
        <x:v>106</x:v>
      </x:c>
      <x:c r="C111" s="41" t="n">
        <x:f>ROUNDUP(B111/12,0)</x:f>
        <x:v>9</x:v>
      </x:c>
      <x:c r="D111" s="16" t="n">
        <x:f>H110</x:f>
        <x:v>100161.7475721095</x:v>
      </x:c>
      <x:c r="E111" s="32" t="n">
        <x:f>IF(B111&gt;'Analysis'!$C$13*12,0,'Analysis'!$G$22)</x:f>
        <x:v>786.6163221218766</x:v>
      </x:c>
      <x:c r="F111" s="32" t="n">
        <x:f>MAX(0,E111-G111)</x:f>
        <x:v>626.0109223256848</x:v>
      </x:c>
      <x:c r="G111" s="16" t="n">
        <x:f>IF(OR('Analysis'!$G$21=0,B111&gt;'Analysis'!$C$13*12),0,IF('Analysis'!$C$12=0,'Analysis'!$G$21/('Analysis'!$C$13*12),'Analysis'!$G$21*(1+'Analysis'!$C$12/12)^-('Analysis'!$C$13*12-B111)*(1-(1+'Analysis'!$C$12/12)^-1)/(1-(1+'Analysis'!$C$12/12)^-('Analysis'!$C$13*12))))</x:f>
        <x:v>160.60539979619176</x:v>
      </x:c>
      <x:c r="H111" s="16" t="n">
        <x:f>IF(B111&gt;='Analysis'!$C$13*12,0,MAX(0,D111-G111))</x:f>
        <x:v>100001.14217231331</x:v>
      </x:c>
    </x:row>
    <x:row r="112" ht="22" customHeight="1">
      <x:c r="A112" s="2"/>
      <x:c r="B112" s="41" t="n">
        <x:f>107</x:f>
        <x:v>107</x:v>
      </x:c>
      <x:c r="C112" s="41" t="n">
        <x:f>ROUNDUP(B112/12,0)</x:f>
        <x:v>9</x:v>
      </x:c>
      <x:c r="D112" s="16" t="n">
        <x:f>H111</x:f>
        <x:v>100001.14217231331</x:v>
      </x:c>
      <x:c r="E112" s="32" t="n">
        <x:f>IF(B112&gt;'Analysis'!$C$13*12,0,'Analysis'!$G$22)</x:f>
        <x:v>786.6163221218766</x:v>
      </x:c>
      <x:c r="F112" s="32" t="n">
        <x:f>MAX(0,E112-G112)</x:f>
        <x:v>625.0071385769586</x:v>
      </x:c>
      <x:c r="G112" s="16" t="n">
        <x:f>IF(OR('Analysis'!$G$21=0,B112&gt;'Analysis'!$C$13*12),0,IF('Analysis'!$C$12=0,'Analysis'!$G$21/('Analysis'!$C$13*12),'Analysis'!$G$21*(1+'Analysis'!$C$12/12)^-('Analysis'!$C$13*12-B112)*(1-(1+'Analysis'!$C$12/12)^-1)/(1-(1+'Analysis'!$C$12/12)^-('Analysis'!$C$13*12))))</x:f>
        <x:v>161.60918354491798</x:v>
      </x:c>
      <x:c r="H112" s="16" t="n">
        <x:f>IF(B112&gt;='Analysis'!$C$13*12,0,MAX(0,D112-G112))</x:f>
        <x:v>99839.53298876839</x:v>
      </x:c>
    </x:row>
    <x:row r="113" ht="22" customHeight="1">
      <x:c r="A113" s="2"/>
      <x:c r="B113" s="41" t="n">
        <x:f>108</x:f>
        <x:v>108</x:v>
      </x:c>
      <x:c r="C113" s="41" t="n">
        <x:f>ROUNDUP(B113/12,0)</x:f>
        <x:v>9</x:v>
      </x:c>
      <x:c r="D113" s="16" t="n">
        <x:f>H112</x:f>
        <x:v>99839.53298876839</x:v>
      </x:c>
      <x:c r="E113" s="32" t="n">
        <x:f>IF(B113&gt;'Analysis'!$C$13*12,0,'Analysis'!$G$22)</x:f>
        <x:v>786.6163221218766</x:v>
      </x:c>
      <x:c r="F113" s="32" t="n">
        <x:f>MAX(0,E113-G113)</x:f>
        <x:v>623.9970811798029</x:v>
      </x:c>
      <x:c r="G113" s="16" t="n">
        <x:f>IF(OR('Analysis'!$G$21=0,B113&gt;'Analysis'!$C$13*12),0,IF('Analysis'!$C$12=0,'Analysis'!$G$21/('Analysis'!$C$13*12),'Analysis'!$G$21*(1+'Analysis'!$C$12/12)^-('Analysis'!$C$13*12-B113)*(1-(1+'Analysis'!$C$12/12)^-1)/(1-(1+'Analysis'!$C$12/12)^-('Analysis'!$C$13*12))))</x:f>
        <x:v>162.61924094207373</x:v>
      </x:c>
      <x:c r="H113" s="16" t="n">
        <x:f>IF(B113&gt;='Analysis'!$C$13*12,0,MAX(0,D113-G113))</x:f>
        <x:v>99676.91374782631</x:v>
      </x:c>
    </x:row>
    <x:row r="114" ht="22" customHeight="1">
      <x:c r="A114" s="2"/>
      <x:c r="B114" s="41" t="n">
        <x:f>109</x:f>
        <x:v>109</x:v>
      </x:c>
      <x:c r="C114" s="41" t="n">
        <x:f>ROUNDUP(B114/12,0)</x:f>
        <x:v>10</x:v>
      </x:c>
      <x:c r="D114" s="16" t="n">
        <x:f>H113</x:f>
        <x:v>99676.91374782631</x:v>
      </x:c>
      <x:c r="E114" s="32" t="n">
        <x:f>IF(B114&gt;'Analysis'!$C$13*12,0,'Analysis'!$G$22)</x:f>
        <x:v>786.6163221218766</x:v>
      </x:c>
      <x:c r="F114" s="32" t="n">
        <x:f>MAX(0,E114-G114)</x:f>
        <x:v>622.9807109239148</x:v>
      </x:c>
      <x:c r="G114" s="16" t="n">
        <x:f>IF(OR('Analysis'!$G$21=0,B114&gt;'Analysis'!$C$13*12),0,IF('Analysis'!$C$12=0,'Analysis'!$G$21/('Analysis'!$C$13*12),'Analysis'!$G$21*(1+'Analysis'!$C$12/12)^-('Analysis'!$C$13*12-B114)*(1-(1+'Analysis'!$C$12/12)^-1)/(1-(1+'Analysis'!$C$12/12)^-('Analysis'!$C$13*12))))</x:f>
        <x:v>163.63561119796174</x:v>
      </x:c>
      <x:c r="H114" s="16" t="n">
        <x:f>IF(B114&gt;='Analysis'!$C$13*12,0,MAX(0,D114-G114))</x:f>
        <x:v>99513.27813662836</x:v>
      </x:c>
    </x:row>
    <x:row r="115" ht="22" customHeight="1">
      <x:c r="A115" s="2"/>
      <x:c r="B115" s="41" t="n">
        <x:f>110</x:f>
        <x:v>110</x:v>
      </x:c>
      <x:c r="C115" s="41" t="n">
        <x:f>ROUNDUP(B115/12,0)</x:f>
        <x:v>10</x:v>
      </x:c>
      <x:c r="D115" s="16" t="n">
        <x:f>H114</x:f>
        <x:v>99513.27813662836</x:v>
      </x:c>
      <x:c r="E115" s="32" t="n">
        <x:f>IF(B115&gt;'Analysis'!$C$13*12,0,'Analysis'!$G$22)</x:f>
        <x:v>786.6163221218766</x:v>
      </x:c>
      <x:c r="F115" s="32" t="n">
        <x:f>MAX(0,E115-G115)</x:f>
        <x:v>621.9579883539276</x:v>
      </x:c>
      <x:c r="G115" s="16" t="n">
        <x:f>IF(OR('Analysis'!$G$21=0,B115&gt;'Analysis'!$C$13*12),0,IF('Analysis'!$C$12=0,'Analysis'!$G$21/('Analysis'!$C$13*12),'Analysis'!$G$21*(1+'Analysis'!$C$12/12)^-('Analysis'!$C$13*12-B115)*(1-(1+'Analysis'!$C$12/12)^-1)/(1-(1+'Analysis'!$C$12/12)^-('Analysis'!$C$13*12))))</x:f>
        <x:v>164.65833376794902</x:v>
      </x:c>
      <x:c r="H115" s="16" t="n">
        <x:f>IF(B115&gt;='Analysis'!$C$13*12,0,MAX(0,D115-G115))</x:f>
        <x:v>99348.61980286041</x:v>
      </x:c>
    </x:row>
    <x:row r="116" ht="22" customHeight="1">
      <x:c r="A116" s="2"/>
      <x:c r="B116" s="41" t="n">
        <x:f>111</x:f>
        <x:v>111</x:v>
      </x:c>
      <x:c r="C116" s="41" t="n">
        <x:f>ROUNDUP(B116/12,0)</x:f>
        <x:v>10</x:v>
      </x:c>
      <x:c r="D116" s="16" t="n">
        <x:f>H115</x:f>
        <x:v>99348.61980286041</x:v>
      </x:c>
      <x:c r="E116" s="32" t="n">
        <x:f>IF(B116&gt;'Analysis'!$C$13*12,0,'Analysis'!$G$22)</x:f>
        <x:v>786.6163221218766</x:v>
      </x:c>
      <x:c r="F116" s="32" t="n">
        <x:f>MAX(0,E116-G116)</x:f>
        <x:v>620.9288737678779</x:v>
      </x:c>
      <x:c r="G116" s="16" t="n">
        <x:f>IF(OR('Analysis'!$G$21=0,B116&gt;'Analysis'!$C$13*12),0,IF('Analysis'!$C$12=0,'Analysis'!$G$21/('Analysis'!$C$13*12),'Analysis'!$G$21*(1+'Analysis'!$C$12/12)^-('Analysis'!$C$13*12-B116)*(1-(1+'Analysis'!$C$12/12)^-1)/(1-(1+'Analysis'!$C$12/12)^-('Analysis'!$C$13*12))))</x:f>
        <x:v>165.6874483539987</x:v>
      </x:c>
      <x:c r="H116" s="16" t="n">
        <x:f>IF(B116&gt;='Analysis'!$C$13*12,0,MAX(0,D116-G116))</x:f>
        <x:v>99182.93235450641</x:v>
      </x:c>
    </x:row>
    <x:row r="117" ht="22" customHeight="1">
      <x:c r="A117" s="2"/>
      <x:c r="B117" s="41" t="n">
        <x:f>112</x:f>
        <x:v>112</x:v>
      </x:c>
      <x:c r="C117" s="41" t="n">
        <x:f>ROUNDUP(B117/12,0)</x:f>
        <x:v>10</x:v>
      </x:c>
      <x:c r="D117" s="16" t="n">
        <x:f>H116</x:f>
        <x:v>99182.93235450641</x:v>
      </x:c>
      <x:c r="E117" s="32" t="n">
        <x:f>IF(B117&gt;'Analysis'!$C$13*12,0,'Analysis'!$G$22)</x:f>
        <x:v>786.6163221218766</x:v>
      </x:c>
      <x:c r="F117" s="32" t="n">
        <x:f>MAX(0,E117-G117)</x:f>
        <x:v>619.8933272156654</x:v>
      </x:c>
      <x:c r="G117" s="16" t="n">
        <x:f>IF(OR('Analysis'!$G$21=0,B117&gt;'Analysis'!$C$13*12),0,IF('Analysis'!$C$12=0,'Analysis'!$G$21/('Analysis'!$C$13*12),'Analysis'!$G$21*(1+'Analysis'!$C$12/12)^-('Analysis'!$C$13*12-B117)*(1-(1+'Analysis'!$C$12/12)^-1)/(1-(1+'Analysis'!$C$12/12)^-('Analysis'!$C$13*12))))</x:f>
        <x:v>166.72299490621117</x:v>
      </x:c>
      <x:c r="H117" s="16" t="n">
        <x:f>IF(B117&gt;='Analysis'!$C$13*12,0,MAX(0,D117-G117))</x:f>
        <x:v>99016.2093596002</x:v>
      </x:c>
    </x:row>
    <x:row r="118" ht="22" customHeight="1">
      <x:c r="A118" s="2"/>
      <x:c r="B118" s="41" t="n">
        <x:f>113</x:f>
        <x:v>113</x:v>
      </x:c>
      <x:c r="C118" s="41" t="n">
        <x:f>ROUNDUP(B118/12,0)</x:f>
        <x:v>10</x:v>
      </x:c>
      <x:c r="D118" s="16" t="n">
        <x:f>H117</x:f>
        <x:v>99016.2093596002</x:v>
      </x:c>
      <x:c r="E118" s="32" t="n">
        <x:f>IF(B118&gt;'Analysis'!$C$13*12,0,'Analysis'!$G$22)</x:f>
        <x:v>786.6163221218766</x:v>
      </x:c>
      <x:c r="F118" s="32" t="n">
        <x:f>MAX(0,E118-G118)</x:f>
        <x:v>618.8513084975016</x:v>
      </x:c>
      <x:c r="G118" s="16" t="n">
        <x:f>IF(OR('Analysis'!$G$21=0,B118&gt;'Analysis'!$C$13*12),0,IF('Analysis'!$C$12=0,'Analysis'!$G$21/('Analysis'!$C$13*12),'Analysis'!$G$21*(1+'Analysis'!$C$12/12)^-('Analysis'!$C$13*12-B118)*(1-(1+'Analysis'!$C$12/12)^-1)/(1-(1+'Analysis'!$C$12/12)^-('Analysis'!$C$13*12))))</x:f>
        <x:v>167.76501362437503</x:v>
      </x:c>
      <x:c r="H118" s="16" t="n">
        <x:f>IF(B118&gt;='Analysis'!$C$13*12,0,MAX(0,D118-G118))</x:f>
        <x:v>98848.44434597582</x:v>
      </x:c>
    </x:row>
    <x:row r="119" ht="22" customHeight="1">
      <x:c r="A119" s="2"/>
      <x:c r="B119" s="41" t="n">
        <x:f>114</x:f>
        <x:v>114</x:v>
      </x:c>
      <x:c r="C119" s="41" t="n">
        <x:f>ROUNDUP(B119/12,0)</x:f>
        <x:v>10</x:v>
      </x:c>
      <x:c r="D119" s="16" t="n">
        <x:f>H118</x:f>
        <x:v>98848.44434597582</x:v>
      </x:c>
      <x:c r="E119" s="32" t="n">
        <x:f>IF(B119&gt;'Analysis'!$C$13*12,0,'Analysis'!$G$22)</x:f>
        <x:v>786.6163221218766</x:v>
      </x:c>
      <x:c r="F119" s="32" t="n">
        <x:f>MAX(0,E119-G119)</x:f>
        <x:v>617.8027771623492</x:v>
      </x:c>
      <x:c r="G119" s="16" t="n">
        <x:f>IF(OR('Analysis'!$G$21=0,B119&gt;'Analysis'!$C$13*12),0,IF('Analysis'!$C$12=0,'Analysis'!$G$21/('Analysis'!$C$13*12),'Analysis'!$G$21*(1+'Analysis'!$C$12/12)^-('Analysis'!$C$13*12-B119)*(1-(1+'Analysis'!$C$12/12)^-1)/(1-(1+'Analysis'!$C$12/12)^-('Analysis'!$C$13*12))))</x:f>
        <x:v>168.81354495952735</x:v>
      </x:c>
      <x:c r="H119" s="16" t="n">
        <x:f>IF(B119&gt;='Analysis'!$C$13*12,0,MAX(0,D119-G119))</x:f>
        <x:v>98679.63080101629</x:v>
      </x:c>
    </x:row>
    <x:row r="120" ht="22" customHeight="1">
      <x:c r="A120" s="2"/>
      <x:c r="B120" s="41" t="n">
        <x:f>115</x:f>
        <x:v>115</x:v>
      </x:c>
      <x:c r="C120" s="41" t="n">
        <x:f>ROUNDUP(B120/12,0)</x:f>
        <x:v>10</x:v>
      </x:c>
      <x:c r="D120" s="16" t="n">
        <x:f>H119</x:f>
        <x:v>98679.63080101629</x:v>
      </x:c>
      <x:c r="E120" s="32" t="n">
        <x:f>IF(B120&gt;'Analysis'!$C$13*12,0,'Analysis'!$G$22)</x:f>
        <x:v>786.6163221218766</x:v>
      </x:c>
      <x:c r="F120" s="32" t="n">
        <x:f>MAX(0,E120-G120)</x:f>
        <x:v>616.7476925063521</x:v>
      </x:c>
      <x:c r="G120" s="16" t="n">
        <x:f>IF(OR('Analysis'!$G$21=0,B120&gt;'Analysis'!$C$13*12),0,IF('Analysis'!$C$12=0,'Analysis'!$G$21/('Analysis'!$C$13*12),'Analysis'!$G$21*(1+'Analysis'!$C$12/12)^-('Analysis'!$C$13*12-B120)*(1-(1+'Analysis'!$C$12/12)^-1)/(1-(1+'Analysis'!$C$12/12)^-('Analysis'!$C$13*12))))</x:f>
        <x:v>169.86862961552447</x:v>
      </x:c>
      <x:c r="H120" s="16" t="n">
        <x:f>IF(B120&gt;='Analysis'!$C$13*12,0,MAX(0,D120-G120))</x:f>
        <x:v>98509.76217140077</x:v>
      </x:c>
    </x:row>
    <x:row r="121" ht="22" customHeight="1">
      <x:c r="A121" s="2"/>
      <x:c r="B121" s="41" t="n">
        <x:f>116</x:f>
        <x:v>116</x:v>
      </x:c>
      <x:c r="C121" s="41" t="n">
        <x:f>ROUNDUP(B121/12,0)</x:f>
        <x:v>10</x:v>
      </x:c>
      <x:c r="D121" s="16" t="n">
        <x:f>H120</x:f>
        <x:v>98509.76217140077</x:v>
      </x:c>
      <x:c r="E121" s="32" t="n">
        <x:f>IF(B121&gt;'Analysis'!$C$13*12,0,'Analysis'!$G$22)</x:f>
        <x:v>786.6163221218766</x:v>
      </x:c>
      <x:c r="F121" s="32" t="n">
        <x:f>MAX(0,E121-G121)</x:f>
        <x:v>615.6860135712551</x:v>
      </x:c>
      <x:c r="G121" s="16" t="n">
        <x:f>IF(OR('Analysis'!$G$21=0,B121&gt;'Analysis'!$C$13*12),0,IF('Analysis'!$C$12=0,'Analysis'!$G$21/('Analysis'!$C$13*12),'Analysis'!$G$21*(1+'Analysis'!$C$12/12)^-('Analysis'!$C$13*12-B121)*(1-(1+'Analysis'!$C$12/12)^-1)/(1-(1+'Analysis'!$C$12/12)^-('Analysis'!$C$13*12))))</x:f>
        <x:v>170.9303085506215</x:v>
      </x:c>
      <x:c r="H121" s="16" t="n">
        <x:f>IF(B121&gt;='Analysis'!$C$13*12,0,MAX(0,D121-G121))</x:f>
        <x:v>98338.83186285014</x:v>
      </x:c>
    </x:row>
    <x:row r="122" ht="22" customHeight="1">
      <x:c r="A122" s="2"/>
      <x:c r="B122" s="41" t="n">
        <x:f>117</x:f>
        <x:v>117</x:v>
      </x:c>
      <x:c r="C122" s="41" t="n">
        <x:f>ROUNDUP(B122/12,0)</x:f>
        <x:v>10</x:v>
      </x:c>
      <x:c r="D122" s="16" t="n">
        <x:f>H121</x:f>
        <x:v>98338.83186285014</x:v>
      </x:c>
      <x:c r="E122" s="32" t="n">
        <x:f>IF(B122&gt;'Analysis'!$C$13*12,0,'Analysis'!$G$22)</x:f>
        <x:v>786.6163221218766</x:v>
      </x:c>
      <x:c r="F122" s="32" t="n">
        <x:f>MAX(0,E122-G122)</x:f>
        <x:v>614.6176991428136</x:v>
      </x:c>
      <x:c r="G122" s="16" t="n">
        <x:f>IF(OR('Analysis'!$G$21=0,B122&gt;'Analysis'!$C$13*12),0,IF('Analysis'!$C$12=0,'Analysis'!$G$21/('Analysis'!$C$13*12),'Analysis'!$G$21*(1+'Analysis'!$C$12/12)^-('Analysis'!$C$13*12-B122)*(1-(1+'Analysis'!$C$12/12)^-1)/(1-(1+'Analysis'!$C$12/12)^-('Analysis'!$C$13*12))))</x:f>
        <x:v>171.9986229790629</x:v>
      </x:c>
      <x:c r="H122" s="16" t="n">
        <x:f>IF(B122&gt;='Analysis'!$C$13*12,0,MAX(0,D122-G122))</x:f>
        <x:v>98166.83323987108</x:v>
      </x:c>
    </x:row>
    <x:row r="123" ht="22" customHeight="1">
      <x:c r="A123" s="2"/>
      <x:c r="B123" s="41" t="n">
        <x:f>118</x:f>
        <x:v>118</x:v>
      </x:c>
      <x:c r="C123" s="41" t="n">
        <x:f>ROUNDUP(B123/12,0)</x:f>
        <x:v>10</x:v>
      </x:c>
      <x:c r="D123" s="16" t="n">
        <x:f>H122</x:f>
        <x:v>98166.83323987108</x:v>
      </x:c>
      <x:c r="E123" s="32" t="n">
        <x:f>IF(B123&gt;'Analysis'!$C$13*12,0,'Analysis'!$G$22)</x:f>
        <x:v>786.6163221218766</x:v>
      </x:c>
      <x:c r="F123" s="32" t="n">
        <x:f>MAX(0,E123-G123)</x:f>
        <x:v>613.5427077491945</x:v>
      </x:c>
      <x:c r="G123" s="16" t="n">
        <x:f>IF(OR('Analysis'!$G$21=0,B123&gt;'Analysis'!$C$13*12),0,IF('Analysis'!$C$12=0,'Analysis'!$G$21/('Analysis'!$C$13*12),'Analysis'!$G$21*(1+'Analysis'!$C$12/12)^-('Analysis'!$C$13*12-B123)*(1-(1+'Analysis'!$C$12/12)^-1)/(1-(1+'Analysis'!$C$12/12)^-('Analysis'!$C$13*12))))</x:f>
        <x:v>173.07361437268204</x:v>
      </x:c>
      <x:c r="H123" s="16" t="n">
        <x:f>IF(B123&gt;='Analysis'!$C$13*12,0,MAX(0,D123-G123))</x:f>
        <x:v>97993.7596254984</x:v>
      </x:c>
    </x:row>
    <x:row r="124" ht="22" customHeight="1">
      <x:c r="A124" s="2"/>
      <x:c r="B124" s="41" t="n">
        <x:f>119</x:f>
        <x:v>119</x:v>
      </x:c>
      <x:c r="C124" s="41" t="n">
        <x:f>ROUNDUP(B124/12,0)</x:f>
        <x:v>10</x:v>
      </x:c>
      <x:c r="D124" s="16" t="n">
        <x:f>H123</x:f>
        <x:v>97993.7596254984</x:v>
      </x:c>
      <x:c r="E124" s="32" t="n">
        <x:f>IF(B124&gt;'Analysis'!$C$13*12,0,'Analysis'!$G$22)</x:f>
        <x:v>786.6163221218766</x:v>
      </x:c>
      <x:c r="F124" s="32" t="n">
        <x:f>MAX(0,E124-G124)</x:f>
        <x:v>612.4609976593653</x:v>
      </x:c>
      <x:c r="G124" s="16" t="n">
        <x:f>IF(OR('Analysis'!$G$21=0,B124&gt;'Analysis'!$C$13*12),0,IF('Analysis'!$C$12=0,'Analysis'!$G$21/('Analysis'!$C$13*12),'Analysis'!$G$21*(1+'Analysis'!$C$12/12)^-('Analysis'!$C$13*12-B124)*(1-(1+'Analysis'!$C$12/12)^-1)/(1-(1+'Analysis'!$C$12/12)^-('Analysis'!$C$13*12))))</x:f>
        <x:v>174.15532446251132</x:v>
      </x:c>
      <x:c r="H124" s="16" t="n">
        <x:f>IF(B124&gt;='Analysis'!$C$13*12,0,MAX(0,D124-G124))</x:f>
        <x:v>97819.60430103588</x:v>
      </x:c>
    </x:row>
    <x:row r="125" ht="22" customHeight="1">
      <x:c r="A125" s="2"/>
      <x:c r="B125" s="41" t="n">
        <x:f>120</x:f>
        <x:v>120</x:v>
      </x:c>
      <x:c r="C125" s="41" t="n">
        <x:f>ROUNDUP(B125/12,0)</x:f>
        <x:v>10</x:v>
      </x:c>
      <x:c r="D125" s="16" t="n">
        <x:f>H124</x:f>
        <x:v>97819.60430103588</x:v>
      </x:c>
      <x:c r="E125" s="32" t="n">
        <x:f>IF(B125&gt;'Analysis'!$C$13*12,0,'Analysis'!$G$22)</x:f>
        <x:v>786.6163221218766</x:v>
      </x:c>
      <x:c r="F125" s="32" t="n">
        <x:f>MAX(0,E125-G125)</x:f>
        <x:v>611.3725268814745</x:v>
      </x:c>
      <x:c r="G125" s="16" t="n">
        <x:f>IF(OR('Analysis'!$G$21=0,B125&gt;'Analysis'!$C$13*12),0,IF('Analysis'!$C$12=0,'Analysis'!$G$21/('Analysis'!$C$13*12),'Analysis'!$G$21*(1+'Analysis'!$C$12/12)^-('Analysis'!$C$13*12-B125)*(1-(1+'Analysis'!$C$12/12)^-1)/(1-(1+'Analysis'!$C$12/12)^-('Analysis'!$C$13*12))))</x:f>
        <x:v>175.24379524040202</x:v>
      </x:c>
      <x:c r="H125" s="16" t="n">
        <x:f>IF(B125&gt;='Analysis'!$C$13*12,0,MAX(0,D125-G125))</x:f>
        <x:v>97644.36050579548</x:v>
      </x:c>
    </x:row>
    <x:row r="126" ht="22" customHeight="1">
      <x:c r="A126" s="2"/>
      <x:c r="B126" s="41" t="n">
        <x:f>121</x:f>
        <x:v>121</x:v>
      </x:c>
      <x:c r="C126" s="41" t="n">
        <x:f>ROUNDUP(B126/12,0)</x:f>
        <x:v>11</x:v>
      </x:c>
      <x:c r="D126" s="16" t="n">
        <x:f>H125</x:f>
        <x:v>97644.36050579548</x:v>
      </x:c>
      <x:c r="E126" s="32" t="n">
        <x:f>IF(B126&gt;'Analysis'!$C$13*12,0,'Analysis'!$G$22)</x:f>
        <x:v>786.6163221218766</x:v>
      </x:c>
      <x:c r="F126" s="32" t="n">
        <x:f>MAX(0,E126-G126)</x:f>
        <x:v>610.277253161222</x:v>
      </x:c>
      <x:c r="G126" s="16" t="n">
        <x:f>IF(OR('Analysis'!$G$21=0,B126&gt;'Analysis'!$C$13*12),0,IF('Analysis'!$C$12=0,'Analysis'!$G$21/('Analysis'!$C$13*12),'Analysis'!$G$21*(1+'Analysis'!$C$12/12)^-('Analysis'!$C$13*12-B126)*(1-(1+'Analysis'!$C$12/12)^-1)/(1-(1+'Analysis'!$C$12/12)^-('Analysis'!$C$13*12))))</x:f>
        <x:v>176.33906896065457</x:v>
      </x:c>
      <x:c r="H126" s="16" t="n">
        <x:f>IF(B126&gt;='Analysis'!$C$13*12,0,MAX(0,D126-G126))</x:f>
        <x:v>97468.02143683482</x:v>
      </x:c>
    </x:row>
    <x:row r="127" ht="22" customHeight="1">
      <x:c r="A127" s="2"/>
      <x:c r="B127" s="41" t="n">
        <x:f>122</x:f>
        <x:v>122</x:v>
      </x:c>
      <x:c r="C127" s="41" t="n">
        <x:f>ROUNDUP(B127/12,0)</x:f>
        <x:v>11</x:v>
      </x:c>
      <x:c r="D127" s="16" t="n">
        <x:f>H126</x:f>
        <x:v>97468.02143683482</x:v>
      </x:c>
      <x:c r="E127" s="32" t="n">
        <x:f>IF(B127&gt;'Analysis'!$C$13*12,0,'Analysis'!$G$22)</x:f>
        <x:v>786.6163221218766</x:v>
      </x:c>
      <x:c r="F127" s="32" t="n">
        <x:f>MAX(0,E127-G127)</x:f>
        <x:v>609.1751339802179</x:v>
      </x:c>
      <x:c r="G127" s="16" t="n">
        <x:f>IF(OR('Analysis'!$G$21=0,B127&gt;'Analysis'!$C$13*12),0,IF('Analysis'!$C$12=0,'Analysis'!$G$21/('Analysis'!$C$13*12),'Analysis'!$G$21*(1+'Analysis'!$C$12/12)^-('Analysis'!$C$13*12-B127)*(1-(1+'Analysis'!$C$12/12)^-1)/(1-(1+'Analysis'!$C$12/12)^-('Analysis'!$C$13*12))))</x:f>
        <x:v>177.44118814165867</x:v>
      </x:c>
      <x:c r="H127" s="16" t="n">
        <x:f>IF(B127&gt;='Analysis'!$C$13*12,0,MAX(0,D127-G127))</x:f>
        <x:v>97290.58024869316</x:v>
      </x:c>
    </x:row>
    <x:row r="128" ht="22" customHeight="1">
      <x:c r="A128" s="2"/>
      <x:c r="B128" s="41" t="n">
        <x:f>123</x:f>
        <x:v>123</x:v>
      </x:c>
      <x:c r="C128" s="41" t="n">
        <x:f>ROUNDUP(B128/12,0)</x:f>
        <x:v>11</x:v>
      </x:c>
      <x:c r="D128" s="16" t="n">
        <x:f>H127</x:f>
        <x:v>97290.58024869316</x:v>
      </x:c>
      <x:c r="E128" s="32" t="n">
        <x:f>IF(B128&gt;'Analysis'!$C$13*12,0,'Analysis'!$G$22)</x:f>
        <x:v>786.6163221218766</x:v>
      </x:c>
      <x:c r="F128" s="32" t="n">
        <x:f>MAX(0,E128-G128)</x:f>
        <x:v>608.0661265543325</x:v>
      </x:c>
      <x:c r="G128" s="16" t="n">
        <x:f>IF(OR('Analysis'!$G$21=0,B128&gt;'Analysis'!$C$13*12),0,IF('Analysis'!$C$12=0,'Analysis'!$G$21/('Analysis'!$C$13*12),'Analysis'!$G$21*(1+'Analysis'!$C$12/12)^-('Analysis'!$C$13*12-B128)*(1-(1+'Analysis'!$C$12/12)^-1)/(1-(1+'Analysis'!$C$12/12)^-('Analysis'!$C$13*12))))</x:f>
        <x:v>178.55019556754405</x:v>
      </x:c>
      <x:c r="H128" s="16" t="n">
        <x:f>IF(B128&gt;='Analysis'!$C$13*12,0,MAX(0,D128-G128))</x:f>
        <x:v>97112.03005312562</x:v>
      </x:c>
    </x:row>
    <x:row r="129" ht="22" customHeight="1">
      <x:c r="A129" s="2"/>
      <x:c r="B129" s="41" t="n">
        <x:f>124</x:f>
        <x:v>124</x:v>
      </x:c>
      <x:c r="C129" s="41" t="n">
        <x:f>ROUNDUP(B129/12,0)</x:f>
        <x:v>11</x:v>
      </x:c>
      <x:c r="D129" s="16" t="n">
        <x:f>H128</x:f>
        <x:v>97112.03005312562</x:v>
      </x:c>
      <x:c r="E129" s="32" t="n">
        <x:f>IF(B129&gt;'Analysis'!$C$13*12,0,'Analysis'!$G$22)</x:f>
        <x:v>786.6163221218766</x:v>
      </x:c>
      <x:c r="F129" s="32" t="n">
        <x:f>MAX(0,E129-G129)</x:f>
        <x:v>606.9501878320353</x:v>
      </x:c>
      <x:c r="G129" s="16" t="n">
        <x:f>IF(OR('Analysis'!$G$21=0,B129&gt;'Analysis'!$C$13*12),0,IF('Analysis'!$C$12=0,'Analysis'!$G$21/('Analysis'!$C$13*12),'Analysis'!$G$21*(1+'Analysis'!$C$12/12)^-('Analysis'!$C$13*12-B129)*(1-(1+'Analysis'!$C$12/12)^-1)/(1-(1+'Analysis'!$C$12/12)^-('Analysis'!$C$13*12))))</x:f>
        <x:v>179.6661342898412</x:v>
      </x:c>
      <x:c r="H129" s="16" t="n">
        <x:f>IF(B129&gt;='Analysis'!$C$13*12,0,MAX(0,D129-G129))</x:f>
        <x:v>96932.36391883578</x:v>
      </x:c>
    </x:row>
    <x:row r="130" ht="22" customHeight="1">
      <x:c r="A130" s="2"/>
      <x:c r="B130" s="41" t="n">
        <x:f>125</x:f>
        <x:v>125</x:v>
      </x:c>
      <x:c r="C130" s="41" t="n">
        <x:f>ROUNDUP(B130/12,0)</x:f>
        <x:v>11</x:v>
      </x:c>
      <x:c r="D130" s="16" t="n">
        <x:f>H129</x:f>
        <x:v>96932.36391883578</x:v>
      </x:c>
      <x:c r="E130" s="32" t="n">
        <x:f>IF(B130&gt;'Analysis'!$C$13*12,0,'Analysis'!$G$22)</x:f>
        <x:v>786.6163221218766</x:v>
      </x:c>
      <x:c r="F130" s="32" t="n">
        <x:f>MAX(0,E130-G130)</x:f>
        <x:v>605.8272744927239</x:v>
      </x:c>
      <x:c r="G130" s="16" t="n">
        <x:f>IF(OR('Analysis'!$G$21=0,B130&gt;'Analysis'!$C$13*12),0,IF('Analysis'!$C$12=0,'Analysis'!$G$21/('Analysis'!$C$13*12),'Analysis'!$G$21*(1+'Analysis'!$C$12/12)^-('Analysis'!$C$13*12-B130)*(1-(1+'Analysis'!$C$12/12)^-1)/(1-(1+'Analysis'!$C$12/12)^-('Analysis'!$C$13*12))))</x:f>
        <x:v>180.78904762915272</x:v>
      </x:c>
      <x:c r="H130" s="16" t="n">
        <x:f>IF(B130&gt;='Analysis'!$C$13*12,0,MAX(0,D130-G130))</x:f>
        <x:v>96751.57487120663</x:v>
      </x:c>
    </x:row>
    <x:row r="131" ht="22" customHeight="1">
      <x:c r="A131" s="2"/>
      <x:c r="B131" s="41" t="n">
        <x:f>126</x:f>
        <x:v>126</x:v>
      </x:c>
      <x:c r="C131" s="41" t="n">
        <x:f>ROUNDUP(B131/12,0)</x:f>
        <x:v>11</x:v>
      </x:c>
      <x:c r="D131" s="16" t="n">
        <x:f>H130</x:f>
        <x:v>96751.57487120663</x:v>
      </x:c>
      <x:c r="E131" s="32" t="n">
        <x:f>IF(B131&gt;'Analysis'!$C$13*12,0,'Analysis'!$G$22)</x:f>
        <x:v>786.6163221218766</x:v>
      </x:c>
      <x:c r="F131" s="32" t="n">
        <x:f>MAX(0,E131-G131)</x:f>
        <x:v>604.6973429450416</x:v>
      </x:c>
      <x:c r="G131" s="16" t="n">
        <x:f>IF(OR('Analysis'!$G$21=0,B131&gt;'Analysis'!$C$13*12),0,IF('Analysis'!$C$12=0,'Analysis'!$G$21/('Analysis'!$C$13*12),'Analysis'!$G$21*(1+'Analysis'!$C$12/12)^-('Analysis'!$C$13*12-B131)*(1-(1+'Analysis'!$C$12/12)^-1)/(1-(1+'Analysis'!$C$12/12)^-('Analysis'!$C$13*12))))</x:f>
        <x:v>181.91897917683497</x:v>
      </x:c>
      <x:c r="H131" s="16" t="n">
        <x:f>IF(B131&gt;='Analysis'!$C$13*12,0,MAX(0,D131-G131))</x:f>
        <x:v>96569.6558920298</x:v>
      </x:c>
    </x:row>
    <x:row r="132" ht="22" customHeight="1">
      <x:c r="A132" s="2"/>
      <x:c r="B132" s="41" t="n">
        <x:f>127</x:f>
        <x:v>127</x:v>
      </x:c>
      <x:c r="C132" s="41" t="n">
        <x:f>ROUNDUP(B132/12,0)</x:f>
        <x:v>11</x:v>
      </x:c>
      <x:c r="D132" s="16" t="n">
        <x:f>H131</x:f>
        <x:v>96569.6558920298</x:v>
      </x:c>
      <x:c r="E132" s="32" t="n">
        <x:f>IF(B132&gt;'Analysis'!$C$13*12,0,'Analysis'!$G$22)</x:f>
        <x:v>786.6163221218766</x:v>
      </x:c>
      <x:c r="F132" s="32" t="n">
        <x:f>MAX(0,E132-G132)</x:f>
        <x:v>603.5603493251864</x:v>
      </x:c>
      <x:c r="G132" s="16" t="n">
        <x:f>IF(OR('Analysis'!$G$21=0,B132&gt;'Analysis'!$C$13*12),0,IF('Analysis'!$C$12=0,'Analysis'!$G$21/('Analysis'!$C$13*12),'Analysis'!$G$21*(1+'Analysis'!$C$12/12)^-('Analysis'!$C$13*12-B132)*(1-(1+'Analysis'!$C$12/12)^-1)/(1-(1+'Analysis'!$C$12/12)^-('Analysis'!$C$13*12))))</x:f>
        <x:v>183.0559727966902</x:v>
      </x:c>
      <x:c r="H132" s="16" t="n">
        <x:f>IF(B132&gt;='Analysis'!$C$13*12,0,MAX(0,D132-G132))</x:f>
        <x:v>96386.59991923311</x:v>
      </x:c>
    </x:row>
    <x:row r="133" ht="22" customHeight="1">
      <x:c r="A133" s="2"/>
      <x:c r="B133" s="41" t="n">
        <x:f>128</x:f>
        <x:v>128</x:v>
      </x:c>
      <x:c r="C133" s="41" t="n">
        <x:f>ROUNDUP(B133/12,0)</x:f>
        <x:v>11</x:v>
      </x:c>
      <x:c r="D133" s="16" t="n">
        <x:f>H132</x:f>
        <x:v>96386.59991923311</x:v>
      </x:c>
      <x:c r="E133" s="32" t="n">
        <x:f>IF(B133&gt;'Analysis'!$C$13*12,0,'Analysis'!$G$22)</x:f>
        <x:v>786.6163221218766</x:v>
      </x:c>
      <x:c r="F133" s="32" t="n">
        <x:f>MAX(0,E133-G133)</x:f>
        <x:v>602.416249495207</x:v>
      </x:c>
      <x:c r="G133" s="16" t="n">
        <x:f>IF(OR('Analysis'!$G$21=0,B133&gt;'Analysis'!$C$13*12),0,IF('Analysis'!$C$12=0,'Analysis'!$G$21/('Analysis'!$C$13*12),'Analysis'!$G$21*(1+'Analysis'!$C$12/12)^-('Analysis'!$C$13*12-B133)*(1-(1+'Analysis'!$C$12/12)^-1)/(1-(1+'Analysis'!$C$12/12)^-('Analysis'!$C$13*12))))</x:f>
        <x:v>184.2000726266695</x:v>
      </x:c>
      <x:c r="H133" s="16" t="n">
        <x:f>IF(B133&gt;='Analysis'!$C$13*12,0,MAX(0,D133-G133))</x:f>
        <x:v>96202.39984660644</x:v>
      </x:c>
    </x:row>
    <x:row r="134" ht="22" customHeight="1">
      <x:c r="A134" s="2"/>
      <x:c r="B134" s="41" t="n">
        <x:f>129</x:f>
        <x:v>129</x:v>
      </x:c>
      <x:c r="C134" s="41" t="n">
        <x:f>ROUNDUP(B134/12,0)</x:f>
        <x:v>11</x:v>
      </x:c>
      <x:c r="D134" s="16" t="n">
        <x:f>H133</x:f>
        <x:v>96202.39984660644</x:v>
      </x:c>
      <x:c r="E134" s="32" t="n">
        <x:f>IF(B134&gt;'Analysis'!$C$13*12,0,'Analysis'!$G$22)</x:f>
        <x:v>786.6163221218766</x:v>
      </x:c>
      <x:c r="F134" s="32" t="n">
        <x:f>MAX(0,E134-G134)</x:f>
        <x:v>601.2649990412904</x:v>
      </x:c>
      <x:c r="G134" s="16" t="n">
        <x:f>IF(OR('Analysis'!$G$21=0,B134&gt;'Analysis'!$C$13*12),0,IF('Analysis'!$C$12=0,'Analysis'!$G$21/('Analysis'!$C$13*12),'Analysis'!$G$21*(1+'Analysis'!$C$12/12)^-('Analysis'!$C$13*12-B134)*(1-(1+'Analysis'!$C$12/12)^-1)/(1-(1+'Analysis'!$C$12/12)^-('Analysis'!$C$13*12))))</x:f>
        <x:v>185.35132308058624</x:v>
      </x:c>
      <x:c r="H134" s="16" t="n">
        <x:f>IF(B134&gt;='Analysis'!$C$13*12,0,MAX(0,D134-G134))</x:f>
        <x:v>96017.04852352585</x:v>
      </x:c>
    </x:row>
    <x:row r="135" ht="22" customHeight="1">
      <x:c r="A135" s="2"/>
      <x:c r="B135" s="41" t="n">
        <x:f>130</x:f>
        <x:v>130</x:v>
      </x:c>
      <x:c r="C135" s="41" t="n">
        <x:f>ROUNDUP(B135/12,0)</x:f>
        <x:v>11</x:v>
      </x:c>
      <x:c r="D135" s="16" t="n">
        <x:f>H134</x:f>
        <x:v>96017.04852352585</x:v>
      </x:c>
      <x:c r="E135" s="32" t="n">
        <x:f>IF(B135&gt;'Analysis'!$C$13*12,0,'Analysis'!$G$22)</x:f>
        <x:v>786.6163221218766</x:v>
      </x:c>
      <x:c r="F135" s="32" t="n">
        <x:f>MAX(0,E135-G135)</x:f>
        <x:v>600.1065532720366</x:v>
      </x:c>
      <x:c r="G135" s="16" t="n">
        <x:f>IF(OR('Analysis'!$G$21=0,B135&gt;'Analysis'!$C$13*12),0,IF('Analysis'!$C$12=0,'Analysis'!$G$21/('Analysis'!$C$13*12),'Analysis'!$G$21*(1+'Analysis'!$C$12/12)^-('Analysis'!$C$13*12-B135)*(1-(1+'Analysis'!$C$12/12)^-1)/(1-(1+'Analysis'!$C$12/12)^-('Analysis'!$C$13*12))))</x:f>
        <x:v>186.50976884983993</x:v>
      </x:c>
      <x:c r="H135" s="16" t="n">
        <x:f>IF(B135&gt;='Analysis'!$C$13*12,0,MAX(0,D135-G135))</x:f>
        <x:v>95830.53875467602</x:v>
      </x:c>
    </x:row>
    <x:row r="136" ht="22" customHeight="1">
      <x:c r="A136" s="2"/>
      <x:c r="B136" s="41" t="n">
        <x:f>131</x:f>
        <x:v>131</x:v>
      </x:c>
      <x:c r="C136" s="41" t="n">
        <x:f>ROUNDUP(B136/12,0)</x:f>
        <x:v>11</x:v>
      </x:c>
      <x:c r="D136" s="16" t="n">
        <x:f>H135</x:f>
        <x:v>95830.53875467602</x:v>
      </x:c>
      <x:c r="E136" s="32" t="n">
        <x:f>IF(B136&gt;'Analysis'!$C$13*12,0,'Analysis'!$G$22)</x:f>
        <x:v>786.6163221218766</x:v>
      </x:c>
      <x:c r="F136" s="32" t="n">
        <x:f>MAX(0,E136-G136)</x:f>
        <x:v>598.9408672167251</x:v>
      </x:c>
      <x:c r="G136" s="16" t="n">
        <x:f>IF(OR('Analysis'!$G$21=0,B136&gt;'Analysis'!$C$13*12),0,IF('Analysis'!$C$12=0,'Analysis'!$G$21/('Analysis'!$C$13*12),'Analysis'!$G$21*(1+'Analysis'!$C$12/12)^-('Analysis'!$C$13*12-B136)*(1-(1+'Analysis'!$C$12/12)^-1)/(1-(1+'Analysis'!$C$12/12)^-('Analysis'!$C$13*12))))</x:f>
        <x:v>187.67545490515144</x:v>
      </x:c>
      <x:c r="H136" s="16" t="n">
        <x:f>IF(B136&gt;='Analysis'!$C$13*12,0,MAX(0,D136-G136))</x:f>
        <x:v>95642.86329977086</x:v>
      </x:c>
    </x:row>
    <x:row r="137" ht="22" customHeight="1">
      <x:c r="A137" s="2"/>
      <x:c r="B137" s="41" t="n">
        <x:f>132</x:f>
        <x:v>132</x:v>
      </x:c>
      <x:c r="C137" s="41" t="n">
        <x:f>ROUNDUP(B137/12,0)</x:f>
        <x:v>11</x:v>
      </x:c>
      <x:c r="D137" s="16" t="n">
        <x:f>H136</x:f>
        <x:v>95642.86329977086</x:v>
      </x:c>
      <x:c r="E137" s="32" t="n">
        <x:f>IF(B137&gt;'Analysis'!$C$13*12,0,'Analysis'!$G$22)</x:f>
        <x:v>786.6163221218766</x:v>
      </x:c>
      <x:c r="F137" s="32" t="n">
        <x:f>MAX(0,E137-G137)</x:f>
        <x:v>597.7678956235679</x:v>
      </x:c>
      <x:c r="G137" s="16" t="n">
        <x:f>IF(OR('Analysis'!$G$21=0,B137&gt;'Analysis'!$C$13*12),0,IF('Analysis'!$C$12=0,'Analysis'!$G$21/('Analysis'!$C$13*12),'Analysis'!$G$21*(1+'Analysis'!$C$12/12)^-('Analysis'!$C$13*12-B137)*(1-(1+'Analysis'!$C$12/12)^-1)/(1-(1+'Analysis'!$C$12/12)^-('Analysis'!$C$13*12))))</x:f>
        <x:v>188.84842649830864</x:v>
      </x:c>
      <x:c r="H137" s="16" t="n">
        <x:f>IF(B137&gt;='Analysis'!$C$13*12,0,MAX(0,D137-G137))</x:f>
        <x:v>95454.01487327255</x:v>
      </x:c>
    </x:row>
    <x:row r="138" ht="22" customHeight="1">
      <x:c r="A138" s="2"/>
      <x:c r="B138" s="41" t="n">
        <x:f>133</x:f>
        <x:v>133</x:v>
      </x:c>
      <x:c r="C138" s="41" t="n">
        <x:f>ROUNDUP(B138/12,0)</x:f>
        <x:v>12</x:v>
      </x:c>
      <x:c r="D138" s="16" t="n">
        <x:f>H137</x:f>
        <x:v>95454.01487327255</x:v>
      </x:c>
      <x:c r="E138" s="32" t="n">
        <x:f>IF(B138&gt;'Analysis'!$C$13*12,0,'Analysis'!$G$22)</x:f>
        <x:v>786.6163221218766</x:v>
      </x:c>
      <x:c r="F138" s="32" t="n">
        <x:f>MAX(0,E138-G138)</x:f>
        <x:v>596.5875929579535</x:v>
      </x:c>
      <x:c r="G138" s="16" t="n">
        <x:f>IF(OR('Analysis'!$G$21=0,B138&gt;'Analysis'!$C$13*12),0,IF('Analysis'!$C$12=0,'Analysis'!$G$21/('Analysis'!$C$13*12),'Analysis'!$G$21*(1+'Analysis'!$C$12/12)^-('Analysis'!$C$13*12-B138)*(1-(1+'Analysis'!$C$12/12)^-1)/(1-(1+'Analysis'!$C$12/12)^-('Analysis'!$C$13*12))))</x:f>
        <x:v>190.0287291639231</x:v>
      </x:c>
      <x:c r="H138" s="16" t="n">
        <x:f>IF(B138&gt;='Analysis'!$C$13*12,0,MAX(0,D138-G138))</x:f>
        <x:v>95263.98614410863</x:v>
      </x:c>
    </x:row>
    <x:row r="139" ht="22" customHeight="1">
      <x:c r="A139" s="2"/>
      <x:c r="B139" s="41" t="n">
        <x:f>134</x:f>
        <x:v>134</x:v>
      </x:c>
      <x:c r="C139" s="41" t="n">
        <x:f>ROUNDUP(B139/12,0)</x:f>
        <x:v>12</x:v>
      </x:c>
      <x:c r="D139" s="16" t="n">
        <x:f>H138</x:f>
        <x:v>95263.98614410863</x:v>
      </x:c>
      <x:c r="E139" s="32" t="n">
        <x:f>IF(B139&gt;'Analysis'!$C$13*12,0,'Analysis'!$G$22)</x:f>
        <x:v>786.6163221218766</x:v>
      </x:c>
      <x:c r="F139" s="32" t="n">
        <x:f>MAX(0,E139-G139)</x:f>
        <x:v>595.399913400679</x:v>
      </x:c>
      <x:c r="G139" s="16" t="n">
        <x:f>IF(OR('Analysis'!$G$21=0,B139&gt;'Analysis'!$C$13*12),0,IF('Analysis'!$C$12=0,'Analysis'!$G$21/('Analysis'!$C$13*12),'Analysis'!$G$21*(1+'Analysis'!$C$12/12)^-('Analysis'!$C$13*12-B139)*(1-(1+'Analysis'!$C$12/12)^-1)/(1-(1+'Analysis'!$C$12/12)^-('Analysis'!$C$13*12))))</x:f>
        <x:v>191.2164087211976</x:v>
      </x:c>
      <x:c r="H139" s="16" t="n">
        <x:f>IF(B139&gt;='Analysis'!$C$13*12,0,MAX(0,D139-G139))</x:f>
        <x:v>95072.76973538742</x:v>
      </x:c>
    </x:row>
    <x:row r="140" ht="22" customHeight="1">
      <x:c r="A140" s="2"/>
      <x:c r="B140" s="41" t="n">
        <x:f>135</x:f>
        <x:v>135</x:v>
      </x:c>
      <x:c r="C140" s="41" t="n">
        <x:f>ROUNDUP(B140/12,0)</x:f>
        <x:v>12</x:v>
      </x:c>
      <x:c r="D140" s="16" t="n">
        <x:f>H139</x:f>
        <x:v>95072.76973538742</x:v>
      </x:c>
      <x:c r="E140" s="32" t="n">
        <x:f>IF(B140&gt;'Analysis'!$C$13*12,0,'Analysis'!$G$22)</x:f>
        <x:v>786.6163221218766</x:v>
      </x:c>
      <x:c r="F140" s="32" t="n">
        <x:f>MAX(0,E140-G140)</x:f>
        <x:v>594.2048108461714</x:v>
      </x:c>
      <x:c r="G140" s="16" t="n">
        <x:f>IF(OR('Analysis'!$G$21=0,B140&gt;'Analysis'!$C$13*12),0,IF('Analysis'!$C$12=0,'Analysis'!$G$21/('Analysis'!$C$13*12),'Analysis'!$G$21*(1+'Analysis'!$C$12/12)^-('Analysis'!$C$13*12-B140)*(1-(1+'Analysis'!$C$12/12)^-1)/(1-(1+'Analysis'!$C$12/12)^-('Analysis'!$C$13*12))))</x:f>
        <x:v>192.41151127570512</x:v>
      </x:c>
      <x:c r="H140" s="16" t="n">
        <x:f>IF(B140&gt;='Analysis'!$C$13*12,0,MAX(0,D140-G140))</x:f>
        <x:v>94880.35822411173</x:v>
      </x:c>
    </x:row>
    <x:row r="141" ht="22" customHeight="1">
      <x:c r="A141" s="2"/>
      <x:c r="B141" s="41" t="n">
        <x:f>136</x:f>
        <x:v>136</x:v>
      </x:c>
      <x:c r="C141" s="41" t="n">
        <x:f>ROUNDUP(B141/12,0)</x:f>
        <x:v>12</x:v>
      </x:c>
      <x:c r="D141" s="16" t="n">
        <x:f>H140</x:f>
        <x:v>94880.35822411173</x:v>
      </x:c>
      <x:c r="E141" s="32" t="n">
        <x:f>IF(B141&gt;'Analysis'!$C$13*12,0,'Analysis'!$G$22)</x:f>
        <x:v>786.6163221218766</x:v>
      </x:c>
      <x:c r="F141" s="32" t="n">
        <x:f>MAX(0,E141-G141)</x:f>
        <x:v>593.0022389006983</x:v>
      </x:c>
      <x:c r="G141" s="16" t="n">
        <x:f>IF(OR('Analysis'!$G$21=0,B141&gt;'Analysis'!$C$13*12),0,IF('Analysis'!$C$12=0,'Analysis'!$G$21/('Analysis'!$C$13*12),'Analysis'!$G$21*(1+'Analysis'!$C$12/12)^-('Analysis'!$C$13*12-B141)*(1-(1+'Analysis'!$C$12/12)^-1)/(1-(1+'Analysis'!$C$12/12)^-('Analysis'!$C$13*12))))</x:f>
        <x:v>193.61408322117828</x:v>
      </x:c>
      <x:c r="H141" s="16" t="n">
        <x:f>IF(B141&gt;='Analysis'!$C$13*12,0,MAX(0,D141-G141))</x:f>
        <x:v>94686.74414089054</x:v>
      </x:c>
    </x:row>
    <x:row r="142" ht="22" customHeight="1">
      <x:c r="A142" s="2"/>
      <x:c r="B142" s="41" t="n">
        <x:f>137</x:f>
        <x:v>137</x:v>
      </x:c>
      <x:c r="C142" s="41" t="n">
        <x:f>ROUNDUP(B142/12,0)</x:f>
        <x:v>12</x:v>
      </x:c>
      <x:c r="D142" s="16" t="n">
        <x:f>H141</x:f>
        <x:v>94686.74414089054</x:v>
      </x:c>
      <x:c r="E142" s="32" t="n">
        <x:f>IF(B142&gt;'Analysis'!$C$13*12,0,'Analysis'!$G$22)</x:f>
        <x:v>786.6163221218766</x:v>
      </x:c>
      <x:c r="F142" s="32" t="n">
        <x:f>MAX(0,E142-G142)</x:f>
        <x:v>591.7921508805659</x:v>
      </x:c>
      <x:c r="G142" s="16" t="n">
        <x:f>IF(OR('Analysis'!$G$21=0,B142&gt;'Analysis'!$C$13*12),0,IF('Analysis'!$C$12=0,'Analysis'!$G$21/('Analysis'!$C$13*12),'Analysis'!$G$21*(1+'Analysis'!$C$12/12)^-('Analysis'!$C$13*12-B142)*(1-(1+'Analysis'!$C$12/12)^-1)/(1-(1+'Analysis'!$C$12/12)^-('Analysis'!$C$13*12))))</x:f>
        <x:v>194.82417124131067</x:v>
      </x:c>
      <x:c r="H142" s="16" t="n">
        <x:f>IF(B142&gt;='Analysis'!$C$13*12,0,MAX(0,D142-G142))</x:f>
        <x:v>94491.91996964923</x:v>
      </x:c>
    </x:row>
    <x:row r="143" ht="22" customHeight="1">
      <x:c r="A143" s="2"/>
      <x:c r="B143" s="41" t="n">
        <x:f>138</x:f>
        <x:v>138</x:v>
      </x:c>
      <x:c r="C143" s="41" t="n">
        <x:f>ROUNDUP(B143/12,0)</x:f>
        <x:v>12</x:v>
      </x:c>
      <x:c r="D143" s="16" t="n">
        <x:f>H142</x:f>
        <x:v>94491.91996964923</x:v>
      </x:c>
      <x:c r="E143" s="32" t="n">
        <x:f>IF(B143&gt;'Analysis'!$C$13*12,0,'Analysis'!$G$22)</x:f>
        <x:v>786.6163221218766</x:v>
      </x:c>
      <x:c r="F143" s="32" t="n">
        <x:f>MAX(0,E143-G143)</x:f>
        <x:v>590.5744998103077</x:v>
      </x:c>
      <x:c r="G143" s="16" t="n">
        <x:f>IF(OR('Analysis'!$G$21=0,B143&gt;'Analysis'!$C$13*12),0,IF('Analysis'!$C$12=0,'Analysis'!$G$21/('Analysis'!$C$13*12),'Analysis'!$G$21*(1+'Analysis'!$C$12/12)^-('Analysis'!$C$13*12-B143)*(1-(1+'Analysis'!$C$12/12)^-1)/(1-(1+'Analysis'!$C$12/12)^-('Analysis'!$C$13*12))))</x:f>
        <x:v>196.0418223115689</x:v>
      </x:c>
      <x:c r="H143" s="16" t="n">
        <x:f>IF(B143&gt;='Analysis'!$C$13*12,0,MAX(0,D143-G143))</x:f>
        <x:v>94295.87814733766</x:v>
      </x:c>
    </x:row>
    <x:row r="144" ht="22" customHeight="1">
      <x:c r="A144" s="2"/>
      <x:c r="B144" s="41" t="n">
        <x:f>139</x:f>
        <x:v>139</x:v>
      </x:c>
      <x:c r="C144" s="41" t="n">
        <x:f>ROUNDUP(B144/12,0)</x:f>
        <x:v>12</x:v>
      </x:c>
      <x:c r="D144" s="16" t="n">
        <x:f>H143</x:f>
        <x:v>94295.87814733766</x:v>
      </x:c>
      <x:c r="E144" s="32" t="n">
        <x:f>IF(B144&gt;'Analysis'!$C$13*12,0,'Analysis'!$G$22)</x:f>
        <x:v>786.6163221218766</x:v>
      </x:c>
      <x:c r="F144" s="32" t="n">
        <x:f>MAX(0,E144-G144)</x:f>
        <x:v>589.3492384208604</x:v>
      </x:c>
      <x:c r="G144" s="16" t="n">
        <x:f>IF(OR('Analysis'!$G$21=0,B144&gt;'Analysis'!$C$13*12),0,IF('Analysis'!$C$12=0,'Analysis'!$G$21/('Analysis'!$C$13*12),'Analysis'!$G$21*(1+'Analysis'!$C$12/12)^-('Analysis'!$C$13*12-B144)*(1-(1+'Analysis'!$C$12/12)^-1)/(1-(1+'Analysis'!$C$12/12)^-('Analysis'!$C$13*12))))</x:f>
        <x:v>197.2670837010162</x:v>
      </x:c>
      <x:c r="H144" s="16" t="n">
        <x:f>IF(B144&gt;='Analysis'!$C$13*12,0,MAX(0,D144-G144))</x:f>
        <x:v>94098.61106363664</x:v>
      </x:c>
    </x:row>
    <x:row r="145" ht="22" customHeight="1">
      <x:c r="A145" s="2"/>
      <x:c r="B145" s="41" t="n">
        <x:f>140</x:f>
        <x:v>140</x:v>
      </x:c>
      <x:c r="C145" s="41" t="n">
        <x:f>ROUNDUP(B145/12,0)</x:f>
        <x:v>12</x:v>
      </x:c>
      <x:c r="D145" s="16" t="n">
        <x:f>H144</x:f>
        <x:v>94098.61106363664</x:v>
      </x:c>
      <x:c r="E145" s="32" t="n">
        <x:f>IF(B145&gt;'Analysis'!$C$13*12,0,'Analysis'!$G$22)</x:f>
        <x:v>786.6163221218766</x:v>
      </x:c>
      <x:c r="F145" s="32" t="n">
        <x:f>MAX(0,E145-G145)</x:f>
        <x:v>588.116319147729</x:v>
      </x:c>
      <x:c r="G145" s="16" t="n">
        <x:f>IF(OR('Analysis'!$G$21=0,B145&gt;'Analysis'!$C$13*12),0,IF('Analysis'!$C$12=0,'Analysis'!$G$21/('Analysis'!$C$13*12),'Analysis'!$G$21*(1+'Analysis'!$C$12/12)^-('Analysis'!$C$13*12-B145)*(1-(1+'Analysis'!$C$12/12)^-1)/(1-(1+'Analysis'!$C$12/12)^-('Analysis'!$C$13*12))))</x:f>
        <x:v>198.50000297414755</x:v>
      </x:c>
      <x:c r="H145" s="16" t="n">
        <x:f>IF(B145&gt;='Analysis'!$C$13*12,0,MAX(0,D145-G145))</x:f>
        <x:v>93900.11106066249</x:v>
      </x:c>
    </x:row>
    <x:row r="146" ht="22" customHeight="1">
      <x:c r="A146" s="2"/>
      <x:c r="B146" s="41" t="n">
        <x:f>141</x:f>
        <x:v>141</x:v>
      </x:c>
      <x:c r="C146" s="41" t="n">
        <x:f>ROUNDUP(B146/12,0)</x:f>
        <x:v>12</x:v>
      </x:c>
      <x:c r="D146" s="16" t="n">
        <x:f>H145</x:f>
        <x:v>93900.11106066249</x:v>
      </x:c>
      <x:c r="E146" s="32" t="n">
        <x:f>IF(B146&gt;'Analysis'!$C$13*12,0,'Analysis'!$G$22)</x:f>
        <x:v>786.6163221218766</x:v>
      </x:c>
      <x:c r="F146" s="32" t="n">
        <x:f>MAX(0,E146-G146)</x:f>
        <x:v>586.8756941291406</x:v>
      </x:c>
      <x:c r="G146" s="16" t="n">
        <x:f>IF(OR('Analysis'!$G$21=0,B146&gt;'Analysis'!$C$13*12),0,IF('Analysis'!$C$12=0,'Analysis'!$G$21/('Analysis'!$C$13*12),'Analysis'!$G$21*(1+'Analysis'!$C$12/12)^-('Analysis'!$C$13*12-B146)*(1-(1+'Analysis'!$C$12/12)^-1)/(1-(1+'Analysis'!$C$12/12)^-('Analysis'!$C$13*12))))</x:f>
        <x:v>199.740627992736</x:v>
      </x:c>
      <x:c r="H146" s="16" t="n">
        <x:f>IF(B146&gt;='Analysis'!$C$13*12,0,MAX(0,D146-G146))</x:f>
        <x:v>93700.37043266975</x:v>
      </x:c>
    </x:row>
    <x:row r="147" ht="22" customHeight="1">
      <x:c r="A147" s="2"/>
      <x:c r="B147" s="41" t="n">
        <x:f>142</x:f>
        <x:v>142</x:v>
      </x:c>
      <x:c r="C147" s="41" t="n">
        <x:f>ROUNDUP(B147/12,0)</x:f>
        <x:v>12</x:v>
      </x:c>
      <x:c r="D147" s="16" t="n">
        <x:f>H146</x:f>
        <x:v>93700.37043266975</x:v>
      </x:c>
      <x:c r="E147" s="32" t="n">
        <x:f>IF(B147&gt;'Analysis'!$C$13*12,0,'Analysis'!$G$22)</x:f>
        <x:v>786.6163221218766</x:v>
      </x:c>
      <x:c r="F147" s="32" t="n">
        <x:f>MAX(0,E147-G147)</x:f>
        <x:v>585.627315204186</x:v>
      </x:c>
      <x:c r="G147" s="16" t="n">
        <x:f>IF(OR('Analysis'!$G$21=0,B147&gt;'Analysis'!$C$13*12),0,IF('Analysis'!$C$12=0,'Analysis'!$G$21/('Analysis'!$C$13*12),'Analysis'!$G$21*(1+'Analysis'!$C$12/12)^-('Analysis'!$C$13*12-B147)*(1-(1+'Analysis'!$C$12/12)^-1)/(1-(1+'Analysis'!$C$12/12)^-('Analysis'!$C$13*12))))</x:f>
        <x:v>200.98900691769063</x:v>
      </x:c>
      <x:c r="H147" s="16" t="n">
        <x:f>IF(B147&gt;='Analysis'!$C$13*12,0,MAX(0,D147-G147))</x:f>
        <x:v>93499.38142575206</x:v>
      </x:c>
    </x:row>
    <x:row r="148" ht="22" customHeight="1">
      <x:c r="A148" s="2"/>
      <x:c r="B148" s="41" t="n">
        <x:f>143</x:f>
        <x:v>143</x:v>
      </x:c>
      <x:c r="C148" s="41" t="n">
        <x:f>ROUNDUP(B148/12,0)</x:f>
        <x:v>12</x:v>
      </x:c>
      <x:c r="D148" s="16" t="n">
        <x:f>H147</x:f>
        <x:v>93499.38142575206</x:v>
      </x:c>
      <x:c r="E148" s="32" t="n">
        <x:f>IF(B148&gt;'Analysis'!$C$13*12,0,'Analysis'!$G$22)</x:f>
        <x:v>786.6163221218766</x:v>
      </x:c>
      <x:c r="F148" s="32" t="n">
        <x:f>MAX(0,E148-G148)</x:f>
        <x:v>584.3711339109503</x:v>
      </x:c>
      <x:c r="G148" s="16" t="n">
        <x:f>IF(OR('Analysis'!$G$21=0,B148&gt;'Analysis'!$C$13*12),0,IF('Analysis'!$C$12=0,'Analysis'!$G$21/('Analysis'!$C$13*12),'Analysis'!$G$21*(1+'Analysis'!$C$12/12)^-('Analysis'!$C$13*12-B148)*(1-(1+'Analysis'!$C$12/12)^-1)/(1-(1+'Analysis'!$C$12/12)^-('Analysis'!$C$13*12))))</x:f>
        <x:v>202.24518821092624</x:v>
      </x:c>
      <x:c r="H148" s="16" t="n">
        <x:f>IF(B148&gt;='Analysis'!$C$13*12,0,MAX(0,D148-G148))</x:f>
        <x:v>93297.13623754113</x:v>
      </x:c>
    </x:row>
    <x:row r="149" ht="22" customHeight="1">
      <x:c r="A149" s="2"/>
      <x:c r="B149" s="41" t="n">
        <x:f>144</x:f>
        <x:v>144</x:v>
      </x:c>
      <x:c r="C149" s="41" t="n">
        <x:f>ROUNDUP(B149/12,0)</x:f>
        <x:v>12</x:v>
      </x:c>
      <x:c r="D149" s="16" t="n">
        <x:f>H148</x:f>
        <x:v>93297.13623754113</x:v>
      </x:c>
      <x:c r="E149" s="32" t="n">
        <x:f>IF(B149&gt;'Analysis'!$C$13*12,0,'Analysis'!$G$22)</x:f>
        <x:v>786.6163221218766</x:v>
      </x:c>
      <x:c r="F149" s="32" t="n">
        <x:f>MAX(0,E149-G149)</x:f>
        <x:v>583.107101484632</x:v>
      </x:c>
      <x:c r="G149" s="16" t="n">
        <x:f>IF(OR('Analysis'!$G$21=0,B149&gt;'Analysis'!$C$13*12),0,IF('Analysis'!$C$12=0,'Analysis'!$G$21/('Analysis'!$C$13*12),'Analysis'!$G$21*(1+'Analysis'!$C$12/12)^-('Analysis'!$C$13*12-B149)*(1-(1+'Analysis'!$C$12/12)^-1)/(1-(1+'Analysis'!$C$12/12)^-('Analysis'!$C$13*12))))</x:f>
        <x:v>203.5092206372445</x:v>
      </x:c>
      <x:c r="H149" s="16" t="n">
        <x:f>IF(B149&gt;='Analysis'!$C$13*12,0,MAX(0,D149-G149))</x:f>
        <x:v>93093.62701690388</x:v>
      </x:c>
    </x:row>
    <x:row r="150" ht="22" customHeight="1">
      <x:c r="A150" s="2"/>
      <x:c r="B150" s="41" t="n">
        <x:f>145</x:f>
        <x:v>145</x:v>
      </x:c>
      <x:c r="C150" s="41" t="n">
        <x:f>ROUNDUP(B150/12,0)</x:f>
        <x:v>13</x:v>
      </x:c>
      <x:c r="D150" s="16" t="n">
        <x:f>H149</x:f>
        <x:v>93093.62701690388</x:v>
      </x:c>
      <x:c r="E150" s="32" t="n">
        <x:f>IF(B150&gt;'Analysis'!$C$13*12,0,'Analysis'!$G$22)</x:f>
        <x:v>786.6163221218766</x:v>
      </x:c>
      <x:c r="F150" s="32" t="n">
        <x:f>MAX(0,E150-G150)</x:f>
        <x:v>581.8351688556493</x:v>
      </x:c>
      <x:c r="G150" s="16" t="n">
        <x:f>IF(OR('Analysis'!$G$21=0,B150&gt;'Analysis'!$C$13*12),0,IF('Analysis'!$C$12=0,'Analysis'!$G$21/('Analysis'!$C$13*12),'Analysis'!$G$21*(1+'Analysis'!$C$12/12)^-('Analysis'!$C$13*12-B150)*(1-(1+'Analysis'!$C$12/12)^-1)/(1-(1+'Analysis'!$C$12/12)^-('Analysis'!$C$13*12))))</x:f>
        <x:v>204.78115326622734</x:v>
      </x:c>
      <x:c r="H150" s="16" t="n">
        <x:f>IF(B150&gt;='Analysis'!$C$13*12,0,MAX(0,D150-G150))</x:f>
        <x:v>92888.84586363765</x:v>
      </x:c>
    </x:row>
    <x:row r="151" ht="22" customHeight="1">
      <x:c r="A151" s="2"/>
      <x:c r="B151" s="41" t="n">
        <x:f>146</x:f>
        <x:v>146</x:v>
      </x:c>
      <x:c r="C151" s="41" t="n">
        <x:f>ROUNDUP(B151/12,0)</x:f>
        <x:v>13</x:v>
      </x:c>
      <x:c r="D151" s="16" t="n">
        <x:f>H150</x:f>
        <x:v>92888.84586363765</x:v>
      </x:c>
      <x:c r="E151" s="32" t="n">
        <x:f>IF(B151&gt;'Analysis'!$C$13*12,0,'Analysis'!$G$22)</x:f>
        <x:v>786.6163221218766</x:v>
      </x:c>
      <x:c r="F151" s="32" t="n">
        <x:f>MAX(0,E151-G151)</x:f>
        <x:v>580.5552866477353</x:v>
      </x:c>
      <x:c r="G151" s="16" t="n">
        <x:f>IF(OR('Analysis'!$G$21=0,B151&gt;'Analysis'!$C$13*12),0,IF('Analysis'!$C$12=0,'Analysis'!$G$21/('Analysis'!$C$13*12),'Analysis'!$G$21*(1+'Analysis'!$C$12/12)^-('Analysis'!$C$13*12-B151)*(1-(1+'Analysis'!$C$12/12)^-1)/(1-(1+'Analysis'!$C$12/12)^-('Analysis'!$C$13*12))))</x:f>
        <x:v>206.06103547414125</x:v>
      </x:c>
      <x:c r="H151" s="16" t="n">
        <x:f>IF(B151&gt;='Analysis'!$C$13*12,0,MAX(0,D151-G151))</x:f>
        <x:v>92682.78482816351</x:v>
      </x:c>
    </x:row>
    <x:row r="152" ht="22" customHeight="1">
      <x:c r="A152" s="2"/>
      <x:c r="B152" s="41" t="n">
        <x:f>147</x:f>
        <x:v>147</x:v>
      </x:c>
      <x:c r="C152" s="41" t="n">
        <x:f>ROUNDUP(B152/12,0)</x:f>
        <x:v>13</x:v>
      </x:c>
      <x:c r="D152" s="16" t="n">
        <x:f>H151</x:f>
        <x:v>92682.78482816351</x:v>
      </x:c>
      <x:c r="E152" s="32" t="n">
        <x:f>IF(B152&gt;'Analysis'!$C$13*12,0,'Analysis'!$G$22)</x:f>
        <x:v>786.6163221218766</x:v>
      </x:c>
      <x:c r="F152" s="32" t="n">
        <x:f>MAX(0,E152-G152)</x:f>
        <x:v>579.2674051760218</x:v>
      </x:c>
      <x:c r="G152" s="16" t="n">
        <x:f>IF(OR('Analysis'!$G$21=0,B152&gt;'Analysis'!$C$13*12),0,IF('Analysis'!$C$12=0,'Analysis'!$G$21/('Analysis'!$C$13*12),'Analysis'!$G$21*(1+'Analysis'!$C$12/12)^-('Analysis'!$C$13*12-B152)*(1-(1+'Analysis'!$C$12/12)^-1)/(1-(1+'Analysis'!$C$12/12)^-('Analysis'!$C$13*12))))</x:f>
        <x:v>207.34891694585468</x:v>
      </x:c>
      <x:c r="H152" s="16" t="n">
        <x:f>IF(B152&gt;='Analysis'!$C$13*12,0,MAX(0,D152-G152))</x:f>
        <x:v>92475.43591121766</x:v>
      </x:c>
    </x:row>
    <x:row r="153" ht="22" customHeight="1">
      <x:c r="A153" s="2"/>
      <x:c r="B153" s="41" t="n">
        <x:f>148</x:f>
        <x:v>148</x:v>
      </x:c>
      <x:c r="C153" s="41" t="n">
        <x:f>ROUNDUP(B153/12,0)</x:f>
        <x:v>13</x:v>
      </x:c>
      <x:c r="D153" s="16" t="n">
        <x:f>H152</x:f>
        <x:v>92475.43591121766</x:v>
      </x:c>
      <x:c r="E153" s="32" t="n">
        <x:f>IF(B153&gt;'Analysis'!$C$13*12,0,'Analysis'!$G$22)</x:f>
        <x:v>786.6163221218766</x:v>
      </x:c>
      <x:c r="F153" s="32" t="n">
        <x:f>MAX(0,E153-G153)</x:f>
        <x:v>577.9714744451103</x:v>
      </x:c>
      <x:c r="G153" s="16" t="n">
        <x:f>IF(OR('Analysis'!$G$21=0,B153&gt;'Analysis'!$C$13*12),0,IF('Analysis'!$C$12=0,'Analysis'!$G$21/('Analysis'!$C$13*12),'Analysis'!$G$21*(1+'Analysis'!$C$12/12)^-('Analysis'!$C$13*12-B153)*(1-(1+'Analysis'!$C$12/12)^-1)/(1-(1+'Analysis'!$C$12/12)^-('Analysis'!$C$13*12))))</x:f>
        <x:v>208.64484767676626</x:v>
      </x:c>
      <x:c r="H153" s="16" t="n">
        <x:f>IF(B153&gt;='Analysis'!$C$13*12,0,MAX(0,D153-G153))</x:f>
        <x:v>92266.79106354089</x:v>
      </x:c>
    </x:row>
    <x:row r="154" ht="22" customHeight="1">
      <x:c r="A154" s="2"/>
      <x:c r="B154" s="41" t="n">
        <x:f>149</x:f>
        <x:v>149</x:v>
      </x:c>
      <x:c r="C154" s="41" t="n">
        <x:f>ROUNDUP(B154/12,0)</x:f>
        <x:v>13</x:v>
      </x:c>
      <x:c r="D154" s="16" t="n">
        <x:f>H153</x:f>
        <x:v>92266.79106354089</x:v>
      </x:c>
      <x:c r="E154" s="32" t="n">
        <x:f>IF(B154&gt;'Analysis'!$C$13*12,0,'Analysis'!$G$22)</x:f>
        <x:v>786.6163221218766</x:v>
      </x:c>
      <x:c r="F154" s="32" t="n">
        <x:f>MAX(0,E154-G154)</x:f>
        <x:v>576.6674441471305</x:v>
      </x:c>
      <x:c r="G154" s="16" t="n">
        <x:f>IF(OR('Analysis'!$G$21=0,B154&gt;'Analysis'!$C$13*12),0,IF('Analysis'!$C$12=0,'Analysis'!$G$21/('Analysis'!$C$13*12),'Analysis'!$G$21*(1+'Analysis'!$C$12/12)^-('Analysis'!$C$13*12-B154)*(1-(1+'Analysis'!$C$12/12)^-1)/(1-(1+'Analysis'!$C$12/12)^-('Analysis'!$C$13*12))))</x:f>
        <x:v>209.94887797474607</x:v>
      </x:c>
      <x:c r="H154" s="16" t="n">
        <x:f>IF(B154&gt;='Analysis'!$C$13*12,0,MAX(0,D154-G154))</x:f>
        <x:v>92056.84218556614</x:v>
      </x:c>
    </x:row>
    <x:row r="155" ht="22" customHeight="1">
      <x:c r="A155" s="2"/>
      <x:c r="B155" s="41" t="n">
        <x:f>150</x:f>
        <x:v>150</x:v>
      </x:c>
      <x:c r="C155" s="41" t="n">
        <x:f>ROUNDUP(B155/12,0)</x:f>
        <x:v>13</x:v>
      </x:c>
      <x:c r="D155" s="16" t="n">
        <x:f>H154</x:f>
        <x:v>92056.84218556614</x:v>
      </x:c>
      <x:c r="E155" s="32" t="n">
        <x:f>IF(B155&gt;'Analysis'!$C$13*12,0,'Analysis'!$G$22)</x:f>
        <x:v>786.6163221218766</x:v>
      </x:c>
      <x:c r="F155" s="32" t="n">
        <x:f>MAX(0,E155-G155)</x:f>
        <x:v>575.3552636597883</x:v>
      </x:c>
      <x:c r="G155" s="16" t="n">
        <x:f>IF(OR('Analysis'!$G$21=0,B155&gt;'Analysis'!$C$13*12),0,IF('Analysis'!$C$12=0,'Analysis'!$G$21/('Analysis'!$C$13*12),'Analysis'!$G$21*(1+'Analysis'!$C$12/12)^-('Analysis'!$C$13*12-B155)*(1-(1+'Analysis'!$C$12/12)^-1)/(1-(1+'Analysis'!$C$12/12)^-('Analysis'!$C$13*12))))</x:f>
        <x:v>211.26105846208827</x:v>
      </x:c>
      <x:c r="H155" s="16" t="n">
        <x:f>IF(B155&gt;='Analysis'!$C$13*12,0,MAX(0,D155-G155))</x:f>
        <x:v>91845.58112710406</x:v>
      </x:c>
    </x:row>
    <x:row r="156" ht="22" customHeight="1">
      <x:c r="A156" s="2"/>
      <x:c r="B156" s="41" t="n">
        <x:f>151</x:f>
        <x:v>151</x:v>
      </x:c>
      <x:c r="C156" s="41" t="n">
        <x:f>ROUNDUP(B156/12,0)</x:f>
        <x:v>13</x:v>
      </x:c>
      <x:c r="D156" s="16" t="n">
        <x:f>H155</x:f>
        <x:v>91845.58112710406</x:v>
      </x:c>
      <x:c r="E156" s="32" t="n">
        <x:f>IF(B156&gt;'Analysis'!$C$13*12,0,'Analysis'!$G$22)</x:f>
        <x:v>786.6163221218766</x:v>
      </x:c>
      <x:c r="F156" s="32" t="n">
        <x:f>MAX(0,E156-G156)</x:f>
        <x:v>574.0348820444003</x:v>
      </x:c>
      <x:c r="G156" s="16" t="n">
        <x:f>IF(OR('Analysis'!$G$21=0,B156&gt;'Analysis'!$C$13*12),0,IF('Analysis'!$C$12=0,'Analysis'!$G$21/('Analysis'!$C$13*12),'Analysis'!$G$21*(1+'Analysis'!$C$12/12)^-('Analysis'!$C$13*12-B156)*(1-(1+'Analysis'!$C$12/12)^-1)/(1-(1+'Analysis'!$C$12/12)^-('Analysis'!$C$13*12))))</x:f>
        <x:v>212.58144007747632</x:v>
      </x:c>
      <x:c r="H156" s="16" t="n">
        <x:f>IF(B156&gt;='Analysis'!$C$13*12,0,MAX(0,D156-G156))</x:f>
        <x:v>91632.99968702657</x:v>
      </x:c>
    </x:row>
    <x:row r="157" ht="22" customHeight="1">
      <x:c r="A157" s="2"/>
      <x:c r="B157" s="41" t="n">
        <x:f>152</x:f>
        <x:v>152</x:v>
      </x:c>
      <x:c r="C157" s="41" t="n">
        <x:f>ROUNDUP(B157/12,0)</x:f>
        <x:v>13</x:v>
      </x:c>
      <x:c r="D157" s="16" t="n">
        <x:f>H156</x:f>
        <x:v>91632.99968702657</x:v>
      </x:c>
      <x:c r="E157" s="32" t="n">
        <x:f>IF(B157&gt;'Analysis'!$C$13*12,0,'Analysis'!$G$22)</x:f>
        <x:v>786.6163221218766</x:v>
      </x:c>
      <x:c r="F157" s="32" t="n">
        <x:f>MAX(0,E157-G157)</x:f>
        <x:v>572.706248043916</x:v>
      </x:c>
      <x:c r="G157" s="16" t="n">
        <x:f>IF(OR('Analysis'!$G$21=0,B157&gt;'Analysis'!$C$13*12),0,IF('Analysis'!$C$12=0,'Analysis'!$G$21/('Analysis'!$C$13*12),'Analysis'!$G$21*(1+'Analysis'!$C$12/12)^-('Analysis'!$C$13*12-B157)*(1-(1+'Analysis'!$C$12/12)^-1)/(1-(1+'Analysis'!$C$12/12)^-('Analysis'!$C$13*12))))</x:f>
        <x:v>213.9100740779606</x:v>
      </x:c>
      <x:c r="H157" s="16" t="n">
        <x:f>IF(B157&gt;='Analysis'!$C$13*12,0,MAX(0,D157-G157))</x:f>
        <x:v>91419.08961294862</x:v>
      </x:c>
    </x:row>
    <x:row r="158" ht="22" customHeight="1">
      <x:c r="A158" s="2"/>
      <x:c r="B158" s="41" t="n">
        <x:f>153</x:f>
        <x:v>153</x:v>
      </x:c>
      <x:c r="C158" s="41" t="n">
        <x:f>ROUNDUP(B158/12,0)</x:f>
        <x:v>13</x:v>
      </x:c>
      <x:c r="D158" s="16" t="n">
        <x:f>H157</x:f>
        <x:v>91419.08961294862</x:v>
      </x:c>
      <x:c r="E158" s="32" t="n">
        <x:f>IF(B158&gt;'Analysis'!$C$13*12,0,'Analysis'!$G$22)</x:f>
        <x:v>786.6163221218766</x:v>
      </x:c>
      <x:c r="F158" s="32" t="n">
        <x:f>MAX(0,E158-G158)</x:f>
        <x:v>571.3693100809287</x:v>
      </x:c>
      <x:c r="G158" s="16" t="n">
        <x:f>IF(OR('Analysis'!$G$21=0,B158&gt;'Analysis'!$C$13*12),0,IF('Analysis'!$C$12=0,'Analysis'!$G$21/('Analysis'!$C$13*12),'Analysis'!$G$21*(1+'Analysis'!$C$12/12)^-('Analysis'!$C$13*12-B158)*(1-(1+'Analysis'!$C$12/12)^-1)/(1-(1+'Analysis'!$C$12/12)^-('Analysis'!$C$13*12))))</x:f>
        <x:v>215.24701204094788</x:v>
      </x:c>
      <x:c r="H158" s="16" t="n">
        <x:f>IF(B158&gt;='Analysis'!$C$13*12,0,MAX(0,D158-G158))</x:f>
        <x:v>91203.84260090768</x:v>
      </x:c>
    </x:row>
    <x:row r="159" ht="22" customHeight="1">
      <x:c r="A159" s="2"/>
      <x:c r="B159" s="41" t="n">
        <x:f>154</x:f>
        <x:v>154</x:v>
      </x:c>
      <x:c r="C159" s="41" t="n">
        <x:f>ROUNDUP(B159/12,0)</x:f>
        <x:v>13</x:v>
      </x:c>
      <x:c r="D159" s="16" t="n">
        <x:f>H158</x:f>
        <x:v>91203.84260090768</x:v>
      </x:c>
      <x:c r="E159" s="32" t="n">
        <x:f>IF(B159&gt;'Analysis'!$C$13*12,0,'Analysis'!$G$22)</x:f>
        <x:v>786.6163221218766</x:v>
      </x:c>
      <x:c r="F159" s="32" t="n">
        <x:f>MAX(0,E159-G159)</x:f>
        <x:v>570.0240162556728</x:v>
      </x:c>
      <x:c r="G159" s="16" t="n">
        <x:f>IF(OR('Analysis'!$G$21=0,B159&gt;'Analysis'!$C$13*12),0,IF('Analysis'!$C$12=0,'Analysis'!$G$21/('Analysis'!$C$13*12),'Analysis'!$G$21*(1+'Analysis'!$C$12/12)^-('Analysis'!$C$13*12-B159)*(1-(1+'Analysis'!$C$12/12)^-1)/(1-(1+'Analysis'!$C$12/12)^-('Analysis'!$C$13*12))))</x:f>
        <x:v>216.59230586620382</x:v>
      </x:c>
      <x:c r="H159" s="16" t="n">
        <x:f>IF(B159&gt;='Analysis'!$C$13*12,0,MAX(0,D159-G159))</x:f>
        <x:v>90987.25029504148</x:v>
      </x:c>
    </x:row>
    <x:row r="160" ht="22" customHeight="1">
      <x:c r="A160" s="2"/>
      <x:c r="B160" s="41" t="n">
        <x:f>155</x:f>
        <x:v>155</x:v>
      </x:c>
      <x:c r="C160" s="41" t="n">
        <x:f>ROUNDUP(B160/12,0)</x:f>
        <x:v>13</x:v>
      </x:c>
      <x:c r="D160" s="16" t="n">
        <x:f>H159</x:f>
        <x:v>90987.25029504148</x:v>
      </x:c>
      <x:c r="E160" s="32" t="n">
        <x:f>IF(B160&gt;'Analysis'!$C$13*12,0,'Analysis'!$G$22)</x:f>
        <x:v>786.6163221218766</x:v>
      </x:c>
      <x:c r="F160" s="32" t="n">
        <x:f>MAX(0,E160-G160)</x:f>
        <x:v>568.6703143440091</x:v>
      </x:c>
      <x:c r="G160" s="16" t="n">
        <x:f>IF(OR('Analysis'!$G$21=0,B160&gt;'Analysis'!$C$13*12),0,IF('Analysis'!$C$12=0,'Analysis'!$G$21/('Analysis'!$C$13*12),'Analysis'!$G$21*(1+'Analysis'!$C$12/12)^-('Analysis'!$C$13*12-B160)*(1-(1+'Analysis'!$C$12/12)^-1)/(1-(1+'Analysis'!$C$12/12)^-('Analysis'!$C$13*12))))</x:f>
        <x:v>217.94600777786758</x:v>
      </x:c>
      <x:c r="H160" s="16" t="n">
        <x:f>IF(B160&gt;='Analysis'!$C$13*12,0,MAX(0,D160-G160))</x:f>
        <x:v>90769.30428726361</x:v>
      </x:c>
    </x:row>
    <x:row r="161" ht="22" customHeight="1">
      <x:c r="A161" s="2"/>
      <x:c r="B161" s="41" t="n">
        <x:f>156</x:f>
        <x:v>156</x:v>
      </x:c>
      <x:c r="C161" s="41" t="n">
        <x:f>ROUNDUP(B161/12,0)</x:f>
        <x:v>13</x:v>
      </x:c>
      <x:c r="D161" s="16" t="n">
        <x:f>H160</x:f>
        <x:v>90769.30428726361</x:v>
      </x:c>
      <x:c r="E161" s="32" t="n">
        <x:f>IF(B161&gt;'Analysis'!$C$13*12,0,'Analysis'!$G$22)</x:f>
        <x:v>786.6163221218766</x:v>
      </x:c>
      <x:c r="F161" s="32" t="n">
        <x:f>MAX(0,E161-G161)</x:f>
        <x:v>567.3081517953973</x:v>
      </x:c>
      <x:c r="G161" s="16" t="n">
        <x:f>IF(OR('Analysis'!$G$21=0,B161&gt;'Analysis'!$C$13*12),0,IF('Analysis'!$C$12=0,'Analysis'!$G$21/('Analysis'!$C$13*12),'Analysis'!$G$21*(1+'Analysis'!$C$12/12)^-('Analysis'!$C$13*12-B161)*(1-(1+'Analysis'!$C$12/12)^-1)/(1-(1+'Analysis'!$C$12/12)^-('Analysis'!$C$13*12))))</x:f>
        <x:v>219.30817032647928</x:v>
      </x:c>
      <x:c r="H161" s="16" t="n">
        <x:f>IF(B161&gt;='Analysis'!$C$13*12,0,MAX(0,D161-G161))</x:f>
        <x:v>90549.99611693714</x:v>
      </x:c>
    </x:row>
    <x:row r="162" ht="22" customHeight="1">
      <x:c r="A162" s="2"/>
      <x:c r="B162" s="41" t="n">
        <x:f>157</x:f>
        <x:v>157</x:v>
      </x:c>
      <x:c r="C162" s="41" t="n">
        <x:f>ROUNDUP(B162/12,0)</x:f>
        <x:v>14</x:v>
      </x:c>
      <x:c r="D162" s="16" t="n">
        <x:f>H161</x:f>
        <x:v>90549.99611693714</x:v>
      </x:c>
      <x:c r="E162" s="32" t="n">
        <x:f>IF(B162&gt;'Analysis'!$C$13*12,0,'Analysis'!$G$22)</x:f>
        <x:v>786.6163221218766</x:v>
      </x:c>
      <x:c r="F162" s="32" t="n">
        <x:f>MAX(0,E162-G162)</x:f>
        <x:v>565.9374757308568</x:v>
      </x:c>
      <x:c r="G162" s="16" t="n">
        <x:f>IF(OR('Analysis'!$G$21=0,B162&gt;'Analysis'!$C$13*12),0,IF('Analysis'!$C$12=0,'Analysis'!$G$21/('Analysis'!$C$13*12),'Analysis'!$G$21*(1+'Analysis'!$C$12/12)^-('Analysis'!$C$13*12-B162)*(1-(1+'Analysis'!$C$12/12)^-1)/(1-(1+'Analysis'!$C$12/12)^-('Analysis'!$C$13*12))))</x:f>
        <x:v>220.6788463910198</x:v>
      </x:c>
      <x:c r="H162" s="16" t="n">
        <x:f>IF(B162&gt;='Analysis'!$C$13*12,0,MAX(0,D162-G162))</x:f>
        <x:v>90329.31727054612</x:v>
      </x:c>
    </x:row>
    <x:row r="163" ht="22" customHeight="1">
      <x:c r="A163" s="2"/>
      <x:c r="B163" s="41" t="n">
        <x:f>158</x:f>
        <x:v>158</x:v>
      </x:c>
      <x:c r="C163" s="41" t="n">
        <x:f>ROUNDUP(B163/12,0)</x:f>
        <x:v>14</x:v>
      </x:c>
      <x:c r="D163" s="16" t="n">
        <x:f>H162</x:f>
        <x:v>90329.31727054612</x:v>
      </x:c>
      <x:c r="E163" s="32" t="n">
        <x:f>IF(B163&gt;'Analysis'!$C$13*12,0,'Analysis'!$G$22)</x:f>
        <x:v>786.6163221218766</x:v>
      </x:c>
      <x:c r="F163" s="32" t="n">
        <x:f>MAX(0,E163-G163)</x:f>
        <x:v>564.5582329409128</x:v>
      </x:c>
      <x:c r="G163" s="16" t="n">
        <x:f>IF(OR('Analysis'!$G$21=0,B163&gt;'Analysis'!$C$13*12),0,IF('Analysis'!$C$12=0,'Analysis'!$G$21/('Analysis'!$C$13*12),'Analysis'!$G$21*(1+'Analysis'!$C$12/12)^-('Analysis'!$C$13*12-B163)*(1-(1+'Analysis'!$C$12/12)^-1)/(1-(1+'Analysis'!$C$12/12)^-('Analysis'!$C$13*12))))</x:f>
        <x:v>222.0580891809637</x:v>
      </x:c>
      <x:c r="H163" s="16" t="n">
        <x:f>IF(B163&gt;='Analysis'!$C$13*12,0,MAX(0,D163-G163))</x:f>
        <x:v>90107.25918136515</x:v>
      </x:c>
    </x:row>
    <x:row r="164" ht="22" customHeight="1">
      <x:c r="A164" s="2"/>
      <x:c r="B164" s="41" t="n">
        <x:f>159</x:f>
        <x:v>159</x:v>
      </x:c>
      <x:c r="C164" s="41" t="n">
        <x:f>ROUNDUP(B164/12,0)</x:f>
        <x:v>14</x:v>
      </x:c>
      <x:c r="D164" s="16" t="n">
        <x:f>H163</x:f>
        <x:v>90107.25918136515</x:v>
      </x:c>
      <x:c r="E164" s="32" t="n">
        <x:f>IF(B164&gt;'Analysis'!$C$13*12,0,'Analysis'!$G$22)</x:f>
        <x:v>786.6163221218766</x:v>
      </x:c>
      <x:c r="F164" s="32" t="n">
        <x:f>MAX(0,E164-G164)</x:f>
        <x:v>563.1703698835319</x:v>
      </x:c>
      <x:c r="G164" s="16" t="n">
        <x:f>IF(OR('Analysis'!$G$21=0,B164&gt;'Analysis'!$C$13*12),0,IF('Analysis'!$C$12=0,'Analysis'!$G$21/('Analysis'!$C$13*12),'Analysis'!$G$21*(1+'Analysis'!$C$12/12)^-('Analysis'!$C$13*12-B164)*(1-(1+'Analysis'!$C$12/12)^-1)/(1-(1+'Analysis'!$C$12/12)^-('Analysis'!$C$13*12))))</x:f>
        <x:v>223.44595223834472</x:v>
      </x:c>
      <x:c r="H164" s="16" t="n">
        <x:f>IF(B164&gt;='Analysis'!$C$13*12,0,MAX(0,D164-G164))</x:f>
        <x:v>89883.81322912681</x:v>
      </x:c>
    </x:row>
    <x:row r="165" ht="22" customHeight="1">
      <x:c r="A165" s="2"/>
      <x:c r="B165" s="41" t="n">
        <x:f>160</x:f>
        <x:v>160</x:v>
      </x:c>
      <x:c r="C165" s="41" t="n">
        <x:f>ROUNDUP(B165/12,0)</x:f>
        <x:v>14</x:v>
      </x:c>
      <x:c r="D165" s="16" t="n">
        <x:f>H164</x:f>
        <x:v>89883.81322912681</x:v>
      </x:c>
      <x:c r="E165" s="32" t="n">
        <x:f>IF(B165&gt;'Analysis'!$C$13*12,0,'Analysis'!$G$22)</x:f>
        <x:v>786.6163221218766</x:v>
      </x:c>
      <x:c r="F165" s="32" t="n">
        <x:f>MAX(0,E165-G165)</x:f>
        <x:v>561.7738326820422</x:v>
      </x:c>
      <x:c r="G165" s="16" t="n">
        <x:f>IF(OR('Analysis'!$G$21=0,B165&gt;'Analysis'!$C$13*12),0,IF('Analysis'!$C$12=0,'Analysis'!$G$21/('Analysis'!$C$13*12),'Analysis'!$G$21*(1+'Analysis'!$C$12/12)^-('Analysis'!$C$13*12-B165)*(1-(1+'Analysis'!$C$12/12)^-1)/(1-(1+'Analysis'!$C$12/12)^-('Analysis'!$C$13*12))))</x:f>
        <x:v>224.84248943983442</x:v>
      </x:c>
      <x:c r="H165" s="16" t="n">
        <x:f>IF(B165&gt;='Analysis'!$C$13*12,0,MAX(0,D165-G165))</x:f>
        <x:v>89658.97073968698</x:v>
      </x:c>
    </x:row>
    <x:row r="166" ht="22" customHeight="1">
      <x:c r="A166" s="2"/>
      <x:c r="B166" s="41" t="n">
        <x:f>161</x:f>
        <x:v>161</x:v>
      </x:c>
      <x:c r="C166" s="41" t="n">
        <x:f>ROUNDUP(B166/12,0)</x:f>
        <x:v>14</x:v>
      </x:c>
      <x:c r="D166" s="16" t="n">
        <x:f>H165</x:f>
        <x:v>89658.97073968698</x:v>
      </x:c>
      <x:c r="E166" s="32" t="n">
        <x:f>IF(B166&gt;'Analysis'!$C$13*12,0,'Analysis'!$G$22)</x:f>
        <x:v>786.6163221218766</x:v>
      </x:c>
      <x:c r="F166" s="32" t="n">
        <x:f>MAX(0,E166-G166)</x:f>
        <x:v>560.3685671230431</x:v>
      </x:c>
      <x:c r="G166" s="16" t="n">
        <x:f>IF(OR('Analysis'!$G$21=0,B166&gt;'Analysis'!$C$13*12),0,IF('Analysis'!$C$12=0,'Analysis'!$G$21/('Analysis'!$C$13*12),'Analysis'!$G$21*(1+'Analysis'!$C$12/12)^-('Analysis'!$C$13*12-B166)*(1-(1+'Analysis'!$C$12/12)^-1)/(1-(1+'Analysis'!$C$12/12)^-('Analysis'!$C$13*12))))</x:f>
        <x:v>226.24775499883341</x:v>
      </x:c>
      <x:c r="H166" s="16" t="n">
        <x:f>IF(B166&gt;='Analysis'!$C$13*12,0,MAX(0,D166-G166))</x:f>
        <x:v>89432.72298468814</x:v>
      </x:c>
    </x:row>
    <x:row r="167" ht="22" customHeight="1">
      <x:c r="A167" s="2"/>
      <x:c r="B167" s="41" t="n">
        <x:f>162</x:f>
        <x:v>162</x:v>
      </x:c>
      <x:c r="C167" s="41" t="n">
        <x:f>ROUNDUP(B167/12,0)</x:f>
        <x:v>14</x:v>
      </x:c>
      <x:c r="D167" s="16" t="n">
        <x:f>H166</x:f>
        <x:v>89432.72298468814</x:v>
      </x:c>
      <x:c r="E167" s="32" t="n">
        <x:f>IF(B167&gt;'Analysis'!$C$13*12,0,'Analysis'!$G$22)</x:f>
        <x:v>786.6163221218766</x:v>
      </x:c>
      <x:c r="F167" s="32" t="n">
        <x:f>MAX(0,E167-G167)</x:f>
        <x:v>558.9545186543005</x:v>
      </x:c>
      <x:c r="G167" s="16" t="n">
        <x:f>IF(OR('Analysis'!$G$21=0,B167&gt;'Analysis'!$C$13*12),0,IF('Analysis'!$C$12=0,'Analysis'!$G$21/('Analysis'!$C$13*12),'Analysis'!$G$21*(1+'Analysis'!$C$12/12)^-('Analysis'!$C$13*12-B167)*(1-(1+'Analysis'!$C$12/12)^-1)/(1-(1+'Analysis'!$C$12/12)^-('Analysis'!$C$13*12))))</x:f>
        <x:v>227.66180346757614</x:v>
      </x:c>
      <x:c r="H167" s="16" t="n">
        <x:f>IF(B167&gt;='Analysis'!$C$13*12,0,MAX(0,D167-G167))</x:f>
        <x:v>89205.06118122056</x:v>
      </x:c>
    </x:row>
    <x:row r="168" ht="22" customHeight="1">
      <x:c r="A168" s="2"/>
      <x:c r="B168" s="41" t="n">
        <x:f>163</x:f>
        <x:v>163</x:v>
      </x:c>
      <x:c r="C168" s="41" t="n">
        <x:f>ROUNDUP(B168/12,0)</x:f>
        <x:v>14</x:v>
      </x:c>
      <x:c r="D168" s="16" t="n">
        <x:f>H167</x:f>
        <x:v>89205.06118122056</x:v>
      </x:c>
      <x:c r="E168" s="32" t="n">
        <x:f>IF(B168&gt;'Analysis'!$C$13*12,0,'Analysis'!$G$22)</x:f>
        <x:v>786.6163221218766</x:v>
      </x:c>
      <x:c r="F168" s="32" t="n">
        <x:f>MAX(0,E168-G168)</x:f>
        <x:v>557.531632382628</x:v>
      </x:c>
      <x:c r="G168" s="16" t="n">
        <x:f>IF(OR('Analysis'!$G$21=0,B168&gt;'Analysis'!$C$13*12),0,IF('Analysis'!$C$12=0,'Analysis'!$G$21/('Analysis'!$C$13*12),'Analysis'!$G$21*(1+'Analysis'!$C$12/12)^-('Analysis'!$C$13*12-B168)*(1-(1+'Analysis'!$C$12/12)^-1)/(1-(1+'Analysis'!$C$12/12)^-('Analysis'!$C$13*12))))</x:f>
        <x:v>229.08468973924852</x:v>
      </x:c>
      <x:c r="H168" s="16" t="n">
        <x:f>IF(B168&gt;='Analysis'!$C$13*12,0,MAX(0,D168-G168))</x:f>
        <x:v>88975.97649148131</x:v>
      </x:c>
    </x:row>
    <x:row r="169" ht="22" customHeight="1">
      <x:c r="A169" s="2"/>
      <x:c r="B169" s="41" t="n">
        <x:f>164</x:f>
        <x:v>164</x:v>
      </x:c>
      <x:c r="C169" s="41" t="n">
        <x:f>ROUNDUP(B169/12,0)</x:f>
        <x:v>14</x:v>
      </x:c>
      <x:c r="D169" s="16" t="n">
        <x:f>H168</x:f>
        <x:v>88975.97649148131</x:v>
      </x:c>
      <x:c r="E169" s="32" t="n">
        <x:f>IF(B169&gt;'Analysis'!$C$13*12,0,'Analysis'!$G$22)</x:f>
        <x:v>786.6163221218766</x:v>
      </x:c>
      <x:c r="F169" s="32" t="n">
        <x:f>MAX(0,E169-G169)</x:f>
        <x:v>556.0998530717577</x:v>
      </x:c>
      <x:c r="G169" s="16" t="n">
        <x:f>IF(OR('Analysis'!$G$21=0,B169&gt;'Analysis'!$C$13*12),0,IF('Analysis'!$C$12=0,'Analysis'!$G$21/('Analysis'!$C$13*12),'Analysis'!$G$21*(1+'Analysis'!$C$12/12)^-('Analysis'!$C$13*12-B169)*(1-(1+'Analysis'!$C$12/12)^-1)/(1-(1+'Analysis'!$C$12/12)^-('Analysis'!$C$13*12))))</x:f>
        <x:v>230.51646905011881</x:v>
      </x:c>
      <x:c r="H169" s="16" t="n">
        <x:f>IF(B169&gt;='Analysis'!$C$13*12,0,MAX(0,D169-G169))</x:f>
        <x:v>88745.46002243119</x:v>
      </x:c>
    </x:row>
    <x:row r="170" ht="22" customHeight="1">
      <x:c r="A170" s="2"/>
      <x:c r="B170" s="41" t="n">
        <x:f>165</x:f>
        <x:v>165</x:v>
      </x:c>
      <x:c r="C170" s="41" t="n">
        <x:f>ROUNDUP(B170/12,0)</x:f>
        <x:v>14</x:v>
      </x:c>
      <x:c r="D170" s="16" t="n">
        <x:f>H169</x:f>
        <x:v>88745.46002243119</x:v>
      </x:c>
      <x:c r="E170" s="32" t="n">
        <x:f>IF(B170&gt;'Analysis'!$C$13*12,0,'Analysis'!$G$22)</x:f>
        <x:v>786.6163221218766</x:v>
      </x:c>
      <x:c r="F170" s="32" t="n">
        <x:f>MAX(0,E170-G170)</x:f>
        <x:v>554.6591251401945</x:v>
      </x:c>
      <x:c r="G170" s="16" t="n">
        <x:f>IF(OR('Analysis'!$G$21=0,B170&gt;'Analysis'!$C$13*12),0,IF('Analysis'!$C$12=0,'Analysis'!$G$21/('Analysis'!$C$13*12),'Analysis'!$G$21*(1+'Analysis'!$C$12/12)^-('Analysis'!$C$13*12-B170)*(1-(1+'Analysis'!$C$12/12)^-1)/(1-(1+'Analysis'!$C$12/12)^-('Analysis'!$C$13*12))))</x:f>
        <x:v>231.95719698168207</x:v>
      </x:c>
      <x:c r="H170" s="16" t="n">
        <x:f>IF(B170&gt;='Analysis'!$C$13*12,0,MAX(0,D170-G170))</x:f>
        <x:v>88513.50282544951</x:v>
      </x:c>
    </x:row>
    <x:row r="171" ht="22" customHeight="1">
      <x:c r="A171" s="2"/>
      <x:c r="B171" s="41" t="n">
        <x:f>166</x:f>
        <x:v>166</x:v>
      </x:c>
      <x:c r="C171" s="41" t="n">
        <x:f>ROUNDUP(B171/12,0)</x:f>
        <x:v>14</x:v>
      </x:c>
      <x:c r="D171" s="16" t="n">
        <x:f>H170</x:f>
        <x:v>88513.50282544951</x:v>
      </x:c>
      <x:c r="E171" s="32" t="n">
        <x:f>IF(B171&gt;'Analysis'!$C$13*12,0,'Analysis'!$G$22)</x:f>
        <x:v>786.6163221218766</x:v>
      </x:c>
      <x:c r="F171" s="32" t="n">
        <x:f>MAX(0,E171-G171)</x:f>
        <x:v>553.209392659059</x:v>
      </x:c>
      <x:c r="G171" s="16" t="n">
        <x:f>IF(OR('Analysis'!$G$21=0,B171&gt;'Analysis'!$C$13*12),0,IF('Analysis'!$C$12=0,'Analysis'!$G$21/('Analysis'!$C$13*12),'Analysis'!$G$21*(1+'Analysis'!$C$12/12)^-('Analysis'!$C$13*12-B171)*(1-(1+'Analysis'!$C$12/12)^-1)/(1-(1+'Analysis'!$C$12/12)^-('Analysis'!$C$13*12))))</x:f>
        <x:v>233.4069294628176</x:v>
      </x:c>
      <x:c r="H171" s="16" t="n">
        <x:f>IF(B171&gt;='Analysis'!$C$13*12,0,MAX(0,D171-G171))</x:f>
        <x:v>88280.0958959867</x:v>
      </x:c>
    </x:row>
    <x:row r="172" ht="22" customHeight="1">
      <x:c r="A172" s="2"/>
      <x:c r="B172" s="41" t="n">
        <x:f>167</x:f>
        <x:v>167</x:v>
      </x:c>
      <x:c r="C172" s="41" t="n">
        <x:f>ROUNDUP(B172/12,0)</x:f>
        <x:v>14</x:v>
      </x:c>
      <x:c r="D172" s="16" t="n">
        <x:f>H171</x:f>
        <x:v>88280.0958959867</x:v>
      </x:c>
      <x:c r="E172" s="32" t="n">
        <x:f>IF(B172&gt;'Analysis'!$C$13*12,0,'Analysis'!$G$22)</x:f>
        <x:v>786.6163221218766</x:v>
      </x:c>
      <x:c r="F172" s="32" t="n">
        <x:f>MAX(0,E172-G172)</x:f>
        <x:v>551.7505993499165</x:v>
      </x:c>
      <x:c r="G172" s="16" t="n">
        <x:f>IF(OR('Analysis'!$G$21=0,B172&gt;'Analysis'!$C$13*12),0,IF('Analysis'!$C$12=0,'Analysis'!$G$21/('Analysis'!$C$13*12),'Analysis'!$G$21*(1+'Analysis'!$C$12/12)^-('Analysis'!$C$13*12-B172)*(1-(1+'Analysis'!$C$12/12)^-1)/(1-(1+'Analysis'!$C$12/12)^-('Analysis'!$C$13*12))))</x:f>
        <x:v>234.86572277196018</x:v>
      </x:c>
      <x:c r="H172" s="16" t="n">
        <x:f>IF(B172&gt;='Analysis'!$C$13*12,0,MAX(0,D172-G172))</x:f>
        <x:v>88045.23017321473</x:v>
      </x:c>
    </x:row>
    <x:row r="173" ht="22" customHeight="1">
      <x:c r="A173" s="2"/>
      <x:c r="B173" s="41" t="n">
        <x:f>168</x:f>
        <x:v>168</x:v>
      </x:c>
      <x:c r="C173" s="41" t="n">
        <x:f>ROUNDUP(B173/12,0)</x:f>
        <x:v>14</x:v>
      </x:c>
      <x:c r="D173" s="16" t="n">
        <x:f>H172</x:f>
        <x:v>88045.23017321473</x:v>
      </x:c>
      <x:c r="E173" s="32" t="n">
        <x:f>IF(B173&gt;'Analysis'!$C$13*12,0,'Analysis'!$G$22)</x:f>
        <x:v>786.6163221218766</x:v>
      </x:c>
      <x:c r="F173" s="32" t="n">
        <x:f>MAX(0,E173-G173)</x:f>
        <x:v>550.2826885825916</x:v>
      </x:c>
      <x:c r="G173" s="16" t="n">
        <x:f>IF(OR('Analysis'!$G$21=0,B173&gt;'Analysis'!$C$13*12),0,IF('Analysis'!$C$12=0,'Analysis'!$G$21/('Analysis'!$C$13*12),'Analysis'!$G$21*(1+'Analysis'!$C$12/12)^-('Analysis'!$C$13*12-B173)*(1-(1+'Analysis'!$C$12/12)^-1)/(1-(1+'Analysis'!$C$12/12)^-('Analysis'!$C$13*12))))</x:f>
        <x:v>236.333633539285</x:v>
      </x:c>
      <x:c r="H173" s="16" t="n">
        <x:f>IF(B173&gt;='Analysis'!$C$13*12,0,MAX(0,D173-G173))</x:f>
        <x:v>87808.89653967545</x:v>
      </x:c>
    </x:row>
    <x:row r="174" ht="22" customHeight="1">
      <x:c r="A174" s="2"/>
      <x:c r="B174" s="41" t="n">
        <x:f>169</x:f>
        <x:v>169</x:v>
      </x:c>
      <x:c r="C174" s="41" t="n">
        <x:f>ROUNDUP(B174/12,0)</x:f>
        <x:v>15</x:v>
      </x:c>
      <x:c r="D174" s="16" t="n">
        <x:f>H173</x:f>
        <x:v>87808.89653967545</x:v>
      </x:c>
      <x:c r="E174" s="32" t="n">
        <x:f>IF(B174&gt;'Analysis'!$C$13*12,0,'Analysis'!$G$22)</x:f>
        <x:v>786.6163221218766</x:v>
      </x:c>
      <x:c r="F174" s="32" t="n">
        <x:f>MAX(0,E174-G174)</x:f>
        <x:v>548.805603372971</x:v>
      </x:c>
      <x:c r="G174" s="16" t="n">
        <x:f>IF(OR('Analysis'!$G$21=0,B174&gt;'Analysis'!$C$13*12),0,IF('Analysis'!$C$12=0,'Analysis'!$G$21/('Analysis'!$C$13*12),'Analysis'!$G$21*(1+'Analysis'!$C$12/12)^-('Analysis'!$C$13*12-B174)*(1-(1+'Analysis'!$C$12/12)^-1)/(1-(1+'Analysis'!$C$12/12)^-('Analysis'!$C$13*12))))</x:f>
        <x:v>237.8107187489056</x:v>
      </x:c>
      <x:c r="H174" s="16" t="n">
        <x:f>IF(B174&gt;='Analysis'!$C$13*12,0,MAX(0,D174-G174))</x:f>
        <x:v>87571.08582092654</x:v>
      </x:c>
    </x:row>
    <x:row r="175" ht="22" customHeight="1">
      <x:c r="A175" s="2"/>
      <x:c r="B175" s="41" t="n">
        <x:f>170</x:f>
        <x:v>170</x:v>
      </x:c>
      <x:c r="C175" s="41" t="n">
        <x:f>ROUNDUP(B175/12,0)</x:f>
        <x:v>15</x:v>
      </x:c>
      <x:c r="D175" s="16" t="n">
        <x:f>H174</x:f>
        <x:v>87571.08582092654</x:v>
      </x:c>
      <x:c r="E175" s="32" t="n">
        <x:f>IF(B175&gt;'Analysis'!$C$13*12,0,'Analysis'!$G$22)</x:f>
        <x:v>786.6163221218766</x:v>
      </x:c>
      <x:c r="F175" s="32" t="n">
        <x:f>MAX(0,E175-G175)</x:f>
        <x:v>547.3192863807903</x:v>
      </x:c>
      <x:c r="G175" s="16" t="n">
        <x:f>IF(OR('Analysis'!$G$21=0,B175&gt;'Analysis'!$C$13*12),0,IF('Analysis'!$C$12=0,'Analysis'!$G$21/('Analysis'!$C$13*12),'Analysis'!$G$21*(1+'Analysis'!$C$12/12)^-('Analysis'!$C$13*12-B175)*(1-(1+'Analysis'!$C$12/12)^-1)/(1-(1+'Analysis'!$C$12/12)^-('Analysis'!$C$13*12))))</x:f>
        <x:v>239.29703574108623</x:v>
      </x:c>
      <x:c r="H175" s="16" t="n">
        <x:f>IF(B175&gt;='Analysis'!$C$13*12,0,MAX(0,D175-G175))</x:f>
        <x:v>87331.78878518546</x:v>
      </x:c>
    </x:row>
    <x:row r="176" ht="22" customHeight="1">
      <x:c r="A176" s="2"/>
      <x:c r="B176" s="41" t="n">
        <x:f>171</x:f>
        <x:v>171</x:v>
      </x:c>
      <x:c r="C176" s="41" t="n">
        <x:f>ROUNDUP(B176/12,0)</x:f>
        <x:v>15</x:v>
      </x:c>
      <x:c r="D176" s="16" t="n">
        <x:f>H175</x:f>
        <x:v>87331.78878518546</x:v>
      </x:c>
      <x:c r="E176" s="32" t="n">
        <x:f>IF(B176&gt;'Analysis'!$C$13*12,0,'Analysis'!$G$22)</x:f>
        <x:v>786.6163221218766</x:v>
      </x:c>
      <x:c r="F176" s="32" t="n">
        <x:f>MAX(0,E176-G176)</x:f>
        <x:v>545.8236799074085</x:v>
      </x:c>
      <x:c r="G176" s="16" t="n">
        <x:f>IF(OR('Analysis'!$G$21=0,B176&gt;'Analysis'!$C$13*12),0,IF('Analysis'!$C$12=0,'Analysis'!$G$21/('Analysis'!$C$13*12),'Analysis'!$G$21*(1+'Analysis'!$C$12/12)^-('Analysis'!$C$13*12-B176)*(1-(1+'Analysis'!$C$12/12)^-1)/(1-(1+'Analysis'!$C$12/12)^-('Analysis'!$C$13*12))))</x:f>
        <x:v>240.79264221446806</x:v>
      </x:c>
      <x:c r="H176" s="16" t="n">
        <x:f>IF(B176&gt;='Analysis'!$C$13*12,0,MAX(0,D176-G176))</x:f>
        <x:v>87090.996142971</x:v>
      </x:c>
    </x:row>
    <x:row r="177" ht="22" customHeight="1">
      <x:c r="A177" s="2"/>
      <x:c r="B177" s="41" t="n">
        <x:f>172</x:f>
        <x:v>172</x:v>
      </x:c>
      <x:c r="C177" s="41" t="n">
        <x:f>ROUNDUP(B177/12,0)</x:f>
        <x:v>15</x:v>
      </x:c>
      <x:c r="D177" s="16" t="n">
        <x:f>H176</x:f>
        <x:v>87090.996142971</x:v>
      </x:c>
      <x:c r="E177" s="32" t="n">
        <x:f>IF(B177&gt;'Analysis'!$C$13*12,0,'Analysis'!$G$22)</x:f>
        <x:v>786.6163221218766</x:v>
      </x:c>
      <x:c r="F177" s="32" t="n">
        <x:f>MAX(0,E177-G177)</x:f>
        <x:v>544.3187258935681</x:v>
      </x:c>
      <x:c r="G177" s="16" t="n">
        <x:f>IF(OR('Analysis'!$G$21=0,B177&gt;'Analysis'!$C$13*12),0,IF('Analysis'!$C$12=0,'Analysis'!$G$21/('Analysis'!$C$13*12),'Analysis'!$G$21*(1+'Analysis'!$C$12/12)^-('Analysis'!$C$13*12-B177)*(1-(1+'Analysis'!$C$12/12)^-1)/(1-(1+'Analysis'!$C$12/12)^-('Analysis'!$C$13*12))))</x:f>
        <x:v>242.29759622830852</x:v>
      </x:c>
      <x:c r="H177" s="16" t="n">
        <x:f>IF(B177&gt;='Analysis'!$C$13*12,0,MAX(0,D177-G177))</x:f>
        <x:v>86848.69854674269</x:v>
      </x:c>
    </x:row>
    <x:row r="178" ht="22" customHeight="1">
      <x:c r="A178" s="2"/>
      <x:c r="B178" s="41" t="n">
        <x:f>173</x:f>
        <x:v>173</x:v>
      </x:c>
      <x:c r="C178" s="41" t="n">
        <x:f>ROUNDUP(B178/12,0)</x:f>
        <x:v>15</x:v>
      </x:c>
      <x:c r="D178" s="16" t="n">
        <x:f>H177</x:f>
        <x:v>86848.69854674269</x:v>
      </x:c>
      <x:c r="E178" s="32" t="n">
        <x:f>IF(B178&gt;'Analysis'!$C$13*12,0,'Analysis'!$G$22)</x:f>
        <x:v>786.6163221218766</x:v>
      </x:c>
      <x:c r="F178" s="32" t="n">
        <x:f>MAX(0,E178-G178)</x:f>
        <x:v>542.8043659171411</x:v>
      </x:c>
      <x:c r="G178" s="16" t="n">
        <x:f>IF(OR('Analysis'!$G$21=0,B178&gt;'Analysis'!$C$13*12),0,IF('Analysis'!$C$12=0,'Analysis'!$G$21/('Analysis'!$C$13*12),'Analysis'!$G$21*(1+'Analysis'!$C$12/12)^-('Analysis'!$C$13*12-B178)*(1-(1+'Analysis'!$C$12/12)^-1)/(1-(1+'Analysis'!$C$12/12)^-('Analysis'!$C$13*12))))</x:f>
        <x:v>243.81195620473545</x:v>
      </x:c>
      <x:c r="H178" s="16" t="n">
        <x:f>IF(B178&gt;='Analysis'!$C$13*12,0,MAX(0,D178-G178))</x:f>
        <x:v>86604.88659053795</x:v>
      </x:c>
    </x:row>
    <x:row r="179" ht="22" customHeight="1">
      <x:c r="A179" s="2"/>
      <x:c r="B179" s="41" t="n">
        <x:f>174</x:f>
        <x:v>174</x:v>
      </x:c>
      <x:c r="C179" s="41" t="n">
        <x:f>ROUNDUP(B179/12,0)</x:f>
        <x:v>15</x:v>
      </x:c>
      <x:c r="D179" s="16" t="n">
        <x:f>H178</x:f>
        <x:v>86604.88659053795</x:v>
      </x:c>
      <x:c r="E179" s="32" t="n">
        <x:f>IF(B179&gt;'Analysis'!$C$13*12,0,'Analysis'!$G$22)</x:f>
        <x:v>786.6163221218766</x:v>
      </x:c>
      <x:c r="F179" s="32" t="n">
        <x:f>MAX(0,E179-G179)</x:f>
        <x:v>541.2805411908615</x:v>
      </x:c>
      <x:c r="G179" s="16" t="n">
        <x:f>IF(OR('Analysis'!$G$21=0,B179&gt;'Analysis'!$C$13*12),0,IF('Analysis'!$C$12=0,'Analysis'!$G$21/('Analysis'!$C$13*12),'Analysis'!$G$21*(1+'Analysis'!$C$12/12)^-('Analysis'!$C$13*12-B179)*(1-(1+'Analysis'!$C$12/12)^-1)/(1-(1+'Analysis'!$C$12/12)^-('Analysis'!$C$13*12))))</x:f>
        <x:v>245.33578093101505</x:v>
      </x:c>
      <x:c r="H179" s="16" t="n">
        <x:f>IF(B179&gt;='Analysis'!$C$13*12,0,MAX(0,D179-G179))</x:f>
        <x:v>86359.55080960694</x:v>
      </x:c>
    </x:row>
    <x:row r="180" ht="22" customHeight="1">
      <x:c r="A180" s="2"/>
      <x:c r="B180" s="41" t="n">
        <x:f>175</x:f>
        <x:v>175</x:v>
      </x:c>
      <x:c r="C180" s="41" t="n">
        <x:f>ROUNDUP(B180/12,0)</x:f>
        <x:v>15</x:v>
      </x:c>
      <x:c r="D180" s="16" t="n">
        <x:f>H179</x:f>
        <x:v>86359.55080960694</x:v>
      </x:c>
      <x:c r="E180" s="32" t="n">
        <x:f>IF(B180&gt;'Analysis'!$C$13*12,0,'Analysis'!$G$22)</x:f>
        <x:v>786.6163221218766</x:v>
      </x:c>
      <x:c r="F180" s="32" t="n">
        <x:f>MAX(0,E180-G180)</x:f>
        <x:v>539.7471925600427</x:v>
      </x:c>
      <x:c r="G180" s="16" t="n">
        <x:f>IF(OR('Analysis'!$G$21=0,B180&gt;'Analysis'!$C$13*12),0,IF('Analysis'!$C$12=0,'Analysis'!$G$21/('Analysis'!$C$13*12),'Analysis'!$G$21*(1+'Analysis'!$C$12/12)^-('Analysis'!$C$13*12-B180)*(1-(1+'Analysis'!$C$12/12)^-1)/(1-(1+'Analysis'!$C$12/12)^-('Analysis'!$C$13*12))))</x:f>
        <x:v>246.86912956183394</x:v>
      </x:c>
      <x:c r="H180" s="16" t="n">
        <x:f>IF(B180&gt;='Analysis'!$C$13*12,0,MAX(0,D180-G180))</x:f>
        <x:v>86112.6816800451</x:v>
      </x:c>
    </x:row>
    <x:row r="181" ht="22" customHeight="1">
      <x:c r="A181" s="2"/>
      <x:c r="B181" s="41" t="n">
        <x:f>176</x:f>
        <x:v>176</x:v>
      </x:c>
      <x:c r="C181" s="41" t="n">
        <x:f>ROUNDUP(B181/12,0)</x:f>
        <x:v>15</x:v>
      </x:c>
      <x:c r="D181" s="16" t="n">
        <x:f>H180</x:f>
        <x:v>86112.6816800451</x:v>
      </x:c>
      <x:c r="E181" s="32" t="n">
        <x:f>IF(B181&gt;'Analysis'!$C$13*12,0,'Analysis'!$G$22)</x:f>
        <x:v>786.6163221218766</x:v>
      </x:c>
      <x:c r="F181" s="32" t="n">
        <x:f>MAX(0,E181-G181)</x:f>
        <x:v>538.2042605002812</x:v>
      </x:c>
      <x:c r="G181" s="16" t="n">
        <x:f>IF(OR('Analysis'!$G$21=0,B181&gt;'Analysis'!$C$13*12),0,IF('Analysis'!$C$12=0,'Analysis'!$G$21/('Analysis'!$C$13*12),'Analysis'!$G$21*(1+'Analysis'!$C$12/12)^-('Analysis'!$C$13*12-B181)*(1-(1+'Analysis'!$C$12/12)^-1)/(1-(1+'Analysis'!$C$12/12)^-('Analysis'!$C$13*12))))</x:f>
        <x:v>248.41206162159543</x:v>
      </x:c>
      <x:c r="H181" s="16" t="n">
        <x:f>IF(B181&gt;='Analysis'!$C$13*12,0,MAX(0,D181-G181))</x:f>
        <x:v>85864.26961842351</x:v>
      </x:c>
    </x:row>
    <x:row r="182" ht="22" customHeight="1">
      <x:c r="A182" s="2"/>
      <x:c r="B182" s="41" t="n">
        <x:f>177</x:f>
        <x:v>177</x:v>
      </x:c>
      <x:c r="C182" s="41" t="n">
        <x:f>ROUNDUP(B182/12,0)</x:f>
        <x:v>15</x:v>
      </x:c>
      <x:c r="D182" s="16" t="n">
        <x:f>H181</x:f>
        <x:v>85864.26961842351</x:v>
      </x:c>
      <x:c r="E182" s="32" t="n">
        <x:f>IF(B182&gt;'Analysis'!$C$13*12,0,'Analysis'!$G$22)</x:f>
        <x:v>786.6163221218766</x:v>
      </x:c>
      <x:c r="F182" s="32" t="n">
        <x:f>MAX(0,E182-G182)</x:f>
        <x:v>536.6516851151462</x:v>
      </x:c>
      <x:c r="G182" s="16" t="n">
        <x:f>IF(OR('Analysis'!$G$21=0,B182&gt;'Analysis'!$C$13*12),0,IF('Analysis'!$C$12=0,'Analysis'!$G$21/('Analysis'!$C$13*12),'Analysis'!$G$21*(1+'Analysis'!$C$12/12)^-('Analysis'!$C$13*12-B182)*(1-(1+'Analysis'!$C$12/12)^-1)/(1-(1+'Analysis'!$C$12/12)^-('Analysis'!$C$13*12))))</x:f>
        <x:v>249.96463700673038</x:v>
      </x:c>
      <x:c r="H182" s="16" t="n">
        <x:f>IF(B182&gt;='Analysis'!$C$13*12,0,MAX(0,D182-G182))</x:f>
        <x:v>85614.30498141678</x:v>
      </x:c>
    </x:row>
    <x:row r="183" ht="22" customHeight="1">
      <x:c r="A183" s="2"/>
      <x:c r="B183" s="41" t="n">
        <x:f>178</x:f>
        <x:v>178</x:v>
      </x:c>
      <x:c r="C183" s="41" t="n">
        <x:f>ROUNDUP(B183/12,0)</x:f>
        <x:v>15</x:v>
      </x:c>
      <x:c r="D183" s="16" t="n">
        <x:f>H182</x:f>
        <x:v>85614.30498141678</x:v>
      </x:c>
      <x:c r="E183" s="32" t="n">
        <x:f>IF(B183&gt;'Analysis'!$C$13*12,0,'Analysis'!$G$22)</x:f>
        <x:v>786.6163221218766</x:v>
      </x:c>
      <x:c r="F183" s="32" t="n">
        <x:f>MAX(0,E183-G183)</x:f>
        <x:v>535.089406133854</x:v>
      </x:c>
      <x:c r="G183" s="16" t="n">
        <x:f>IF(OR('Analysis'!$G$21=0,B183&gt;'Analysis'!$C$13*12),0,IF('Analysis'!$C$12=0,'Analysis'!$G$21/('Analysis'!$C$13*12),'Analysis'!$G$21*(1+'Analysis'!$C$12/12)^-('Analysis'!$C$13*12-B183)*(1-(1+'Analysis'!$C$12/12)^-1)/(1-(1+'Analysis'!$C$12/12)^-('Analysis'!$C$13*12))))</x:f>
        <x:v>251.5269159880225</x:v>
      </x:c>
      <x:c r="H183" s="16" t="n">
        <x:f>IF(B183&gt;='Analysis'!$C$13*12,0,MAX(0,D183-G183))</x:f>
        <x:v>85362.77806542875</x:v>
      </x:c>
    </x:row>
    <x:row r="184" ht="22" customHeight="1">
      <x:c r="A184" s="2"/>
      <x:c r="B184" s="41" t="n">
        <x:f>179</x:f>
        <x:v>179</x:v>
      </x:c>
      <x:c r="C184" s="41" t="n">
        <x:f>ROUNDUP(B184/12,0)</x:f>
        <x:v>15</x:v>
      </x:c>
      <x:c r="D184" s="16" t="n">
        <x:f>H183</x:f>
        <x:v>85362.77806542875</x:v>
      </x:c>
      <x:c r="E184" s="32" t="n">
        <x:f>IF(B184&gt;'Analysis'!$C$13*12,0,'Analysis'!$G$22)</x:f>
        <x:v>786.6163221218766</x:v>
      </x:c>
      <x:c r="F184" s="32" t="n">
        <x:f>MAX(0,E184-G184)</x:f>
        <x:v>533.5173629089289</x:v>
      </x:c>
      <x:c r="G184" s="16" t="n">
        <x:f>IF(OR('Analysis'!$G$21=0,B184&gt;'Analysis'!$C$13*12),0,IF('Analysis'!$C$12=0,'Analysis'!$G$21/('Analysis'!$C$13*12),'Analysis'!$G$21*(1+'Analysis'!$C$12/12)^-('Analysis'!$C$13*12-B184)*(1-(1+'Analysis'!$C$12/12)^-1)/(1-(1+'Analysis'!$C$12/12)^-('Analysis'!$C$13*12))))</x:f>
        <x:v>253.09895921294765</x:v>
      </x:c>
      <x:c r="H184" s="16" t="n">
        <x:f>IF(B184&gt;='Analysis'!$C$13*12,0,MAX(0,D184-G184))</x:f>
        <x:v>85109.6791062158</x:v>
      </x:c>
    </x:row>
    <x:row r="185" ht="22" customHeight="1">
      <x:c r="A185" s="2"/>
      <x:c r="B185" s="41" t="n">
        <x:f>180</x:f>
        <x:v>180</x:v>
      </x:c>
      <x:c r="C185" s="41" t="n">
        <x:f>ROUNDUP(B185/12,0)</x:f>
        <x:v>15</x:v>
      </x:c>
      <x:c r="D185" s="16" t="n">
        <x:f>H184</x:f>
        <x:v>85109.6791062158</x:v>
      </x:c>
      <x:c r="E185" s="32" t="n">
        <x:f>IF(B185&gt;'Analysis'!$C$13*12,0,'Analysis'!$G$22)</x:f>
        <x:v>786.6163221218766</x:v>
      </x:c>
      <x:c r="F185" s="32" t="n">
        <x:f>MAX(0,E185-G185)</x:f>
        <x:v>531.9354944138479</x:v>
      </x:c>
      <x:c r="G185" s="16" t="n">
        <x:f>IF(OR('Analysis'!$G$21=0,B185&gt;'Analysis'!$C$13*12),0,IF('Analysis'!$C$12=0,'Analysis'!$G$21/('Analysis'!$C$13*12),'Analysis'!$G$21*(1+'Analysis'!$C$12/12)^-('Analysis'!$C$13*12-B185)*(1-(1+'Analysis'!$C$12/12)^-1)/(1-(1+'Analysis'!$C$12/12)^-('Analysis'!$C$13*12))))</x:f>
        <x:v>254.68082770802863</x:v>
      </x:c>
      <x:c r="H185" s="16" t="n">
        <x:f>IF(B185&gt;='Analysis'!$C$13*12,0,MAX(0,D185-G185))</x:f>
        <x:v>84854.99827850777</x:v>
      </x:c>
    </x:row>
    <x:row r="186" ht="22" customHeight="1">
      <x:c r="A186" s="2"/>
      <x:c r="B186" s="41" t="n">
        <x:f>181</x:f>
        <x:v>181</x:v>
      </x:c>
      <x:c r="C186" s="41" t="n">
        <x:f>ROUNDUP(B186/12,0)</x:f>
        <x:v>16</x:v>
      </x:c>
      <x:c r="D186" s="16" t="n">
        <x:f>H185</x:f>
        <x:v>84854.99827850777</x:v>
      </x:c>
      <x:c r="E186" s="32" t="n">
        <x:f>IF(B186&gt;'Analysis'!$C$13*12,0,'Analysis'!$G$22)</x:f>
        <x:v>786.6163221218766</x:v>
      </x:c>
      <x:c r="F186" s="32" t="n">
        <x:f>MAX(0,E186-G186)</x:f>
        <x:v>530.3437392406727</x:v>
      </x:c>
      <x:c r="G186" s="16" t="n">
        <x:f>IF(OR('Analysis'!$G$21=0,B186&gt;'Analysis'!$C$13*12),0,IF('Analysis'!$C$12=0,'Analysis'!$G$21/('Analysis'!$C$13*12),'Analysis'!$G$21*(1+'Analysis'!$C$12/12)^-('Analysis'!$C$13*12-B186)*(1-(1+'Analysis'!$C$12/12)^-1)/(1-(1+'Analysis'!$C$12/12)^-('Analysis'!$C$13*12))))</x:f>
        <x:v>256.27258288120385</x:v>
      </x:c>
      <x:c r="H186" s="16" t="n">
        <x:f>IF(B186&gt;='Analysis'!$C$13*12,0,MAX(0,D186-G186))</x:f>
        <x:v>84598.72569562656</x:v>
      </x:c>
    </x:row>
    <x:row r="187" ht="22" customHeight="1">
      <x:c r="A187" s="2"/>
      <x:c r="B187" s="41" t="n">
        <x:f>182</x:f>
        <x:v>182</x:v>
      </x:c>
      <x:c r="C187" s="41" t="n">
        <x:f>ROUNDUP(B187/12,0)</x:f>
        <x:v>16</x:v>
      </x:c>
      <x:c r="D187" s="16" t="n">
        <x:f>H186</x:f>
        <x:v>84598.72569562656</x:v>
      </x:c>
      <x:c r="E187" s="32" t="n">
        <x:f>IF(B187&gt;'Analysis'!$C$13*12,0,'Analysis'!$G$22)</x:f>
        <x:v>786.6163221218766</x:v>
      </x:c>
      <x:c r="F187" s="32" t="n">
        <x:f>MAX(0,E187-G187)</x:f>
        <x:v>528.7420355976652</x:v>
      </x:c>
      <x:c r="G187" s="16" t="n">
        <x:f>IF(OR('Analysis'!$G$21=0,B187&gt;'Analysis'!$C$13*12),0,IF('Analysis'!$C$12=0,'Analysis'!$G$21/('Analysis'!$C$13*12),'Analysis'!$G$21*(1+'Analysis'!$C$12/12)^-('Analysis'!$C$13*12-B187)*(1-(1+'Analysis'!$C$12/12)^-1)/(1-(1+'Analysis'!$C$12/12)^-('Analysis'!$C$13*12))))</x:f>
        <x:v>257.87428652421136</x:v>
      </x:c>
      <x:c r="H187" s="16" t="n">
        <x:f>IF(B187&gt;='Analysis'!$C$13*12,0,MAX(0,D187-G187))</x:f>
        <x:v>84340.85140910235</x:v>
      </x:c>
    </x:row>
    <x:row r="188" ht="22" customHeight="1">
      <x:c r="A188" s="2"/>
      <x:c r="B188" s="41" t="n">
        <x:f>183</x:f>
        <x:v>183</x:v>
      </x:c>
      <x:c r="C188" s="41" t="n">
        <x:f>ROUNDUP(B188/12,0)</x:f>
        <x:v>16</x:v>
      </x:c>
      <x:c r="D188" s="16" t="n">
        <x:f>H187</x:f>
        <x:v>84340.85140910235</x:v>
      </x:c>
      <x:c r="E188" s="32" t="n">
        <x:f>IF(B188&gt;'Analysis'!$C$13*12,0,'Analysis'!$G$22)</x:f>
        <x:v>786.6163221218766</x:v>
      </x:c>
      <x:c r="F188" s="32" t="n">
        <x:f>MAX(0,E188-G188)</x:f>
        <x:v>527.1303213068888</x:v>
      </x:c>
      <x:c r="G188" s="16" t="n">
        <x:f>IF(OR('Analysis'!$G$21=0,B188&gt;'Analysis'!$C$13*12),0,IF('Analysis'!$C$12=0,'Analysis'!$G$21/('Analysis'!$C$13*12),'Analysis'!$G$21*(1+'Analysis'!$C$12/12)^-('Analysis'!$C$13*12-B188)*(1-(1+'Analysis'!$C$12/12)^-1)/(1-(1+'Analysis'!$C$12/12)^-('Analysis'!$C$13*12))))</x:f>
        <x:v>259.4860008149877</x:v>
      </x:c>
      <x:c r="H188" s="16" t="n">
        <x:f>IF(B188&gt;='Analysis'!$C$13*12,0,MAX(0,D188-G188))</x:f>
        <x:v>84081.36540828737</x:v>
      </x:c>
    </x:row>
    <x:row r="189" ht="22" customHeight="1">
      <x:c r="A189" s="2"/>
      <x:c r="B189" s="41" t="n">
        <x:f>184</x:f>
        <x:v>184</x:v>
      </x:c>
      <x:c r="C189" s="41" t="n">
        <x:f>ROUNDUP(B189/12,0)</x:f>
        <x:v>16</x:v>
      </x:c>
      <x:c r="D189" s="16" t="n">
        <x:f>H188</x:f>
        <x:v>84081.36540828737</x:v>
      </x:c>
      <x:c r="E189" s="32" t="n">
        <x:f>IF(B189&gt;'Analysis'!$C$13*12,0,'Analysis'!$G$22)</x:f>
        <x:v>786.6163221218766</x:v>
      </x:c>
      <x:c r="F189" s="32" t="n">
        <x:f>MAX(0,E189-G189)</x:f>
        <x:v>525.5085338017952</x:v>
      </x:c>
      <x:c r="G189" s="16" t="n">
        <x:f>IF(OR('Analysis'!$G$21=0,B189&gt;'Analysis'!$C$13*12),0,IF('Analysis'!$C$12=0,'Analysis'!$G$21/('Analysis'!$C$13*12),'Analysis'!$G$21*(1+'Analysis'!$C$12/12)^-('Analysis'!$C$13*12-B189)*(1-(1+'Analysis'!$C$12/12)^-1)/(1-(1+'Analysis'!$C$12/12)^-('Analysis'!$C$13*12))))</x:f>
        <x:v>261.1077883200814</x:v>
      </x:c>
      <x:c r="H189" s="16" t="n">
        <x:f>IF(B189&gt;='Analysis'!$C$13*12,0,MAX(0,D189-G189))</x:f>
        <x:v>83820.25761996729</x:v>
      </x:c>
    </x:row>
    <x:row r="190" ht="22" customHeight="1">
      <x:c r="A190" s="2"/>
      <x:c r="B190" s="41" t="n">
        <x:f>185</x:f>
        <x:v>185</x:v>
      </x:c>
      <x:c r="C190" s="41" t="n">
        <x:f>ROUNDUP(B190/12,0)</x:f>
        <x:v>16</x:v>
      </x:c>
      <x:c r="D190" s="16" t="n">
        <x:f>H189</x:f>
        <x:v>83820.25761996729</x:v>
      </x:c>
      <x:c r="E190" s="32" t="n">
        <x:f>IF(B190&gt;'Analysis'!$C$13*12,0,'Analysis'!$G$22)</x:f>
        <x:v>786.6163221218766</x:v>
      </x:c>
      <x:c r="F190" s="32" t="n">
        <x:f>MAX(0,E190-G190)</x:f>
        <x:v>523.8766101247946</x:v>
      </x:c>
      <x:c r="G190" s="16" t="n">
        <x:f>IF(OR('Analysis'!$G$21=0,B190&gt;'Analysis'!$C$13*12),0,IF('Analysis'!$C$12=0,'Analysis'!$G$21/('Analysis'!$C$13*12),'Analysis'!$G$21*(1+'Analysis'!$C$12/12)^-('Analysis'!$C$13*12-B190)*(1-(1+'Analysis'!$C$12/12)^-1)/(1-(1+'Analysis'!$C$12/12)^-('Analysis'!$C$13*12))))</x:f>
        <x:v>262.73971199708194</x:v>
      </x:c>
      <x:c r="H190" s="16" t="n">
        <x:f>IF(B190&gt;='Analysis'!$C$13*12,0,MAX(0,D190-G190))</x:f>
        <x:v>83557.5179079702</x:v>
      </x:c>
    </x:row>
    <x:row r="191" ht="22" customHeight="1">
      <x:c r="A191" s="2"/>
      <x:c r="B191" s="41" t="n">
        <x:f>186</x:f>
        <x:v>186</x:v>
      </x:c>
      <x:c r="C191" s="41" t="n">
        <x:f>ROUNDUP(B191/12,0)</x:f>
        <x:v>16</x:v>
      </x:c>
      <x:c r="D191" s="16" t="n">
        <x:f>H190</x:f>
        <x:v>83557.5179079702</x:v>
      </x:c>
      <x:c r="E191" s="32" t="n">
        <x:f>IF(B191&gt;'Analysis'!$C$13*12,0,'Analysis'!$G$22)</x:f>
        <x:v>786.6163221218766</x:v>
      </x:c>
      <x:c r="F191" s="32" t="n">
        <x:f>MAX(0,E191-G191)</x:f>
        <x:v>522.2344869248129</x:v>
      </x:c>
      <x:c r="G191" s="16" t="n">
        <x:f>IF(OR('Analysis'!$G$21=0,B191&gt;'Analysis'!$C$13*12),0,IF('Analysis'!$C$12=0,'Analysis'!$G$21/('Analysis'!$C$13*12),'Analysis'!$G$21*(1+'Analysis'!$C$12/12)^-('Analysis'!$C$13*12-B191)*(1-(1+'Analysis'!$C$12/12)^-1)/(1-(1+'Analysis'!$C$12/12)^-('Analysis'!$C$13*12))))</x:f>
        <x:v>264.3818351970637</x:v>
      </x:c>
      <x:c r="H191" s="16" t="n">
        <x:f>IF(B191&gt;='Analysis'!$C$13*12,0,MAX(0,D191-G191))</x:f>
        <x:v>83293.13607277314</x:v>
      </x:c>
    </x:row>
    <x:row r="192" ht="22" customHeight="1">
      <x:c r="A192" s="2"/>
      <x:c r="B192" s="41" t="n">
        <x:f>187</x:f>
        <x:v>187</x:v>
      </x:c>
      <x:c r="C192" s="41" t="n">
        <x:f>ROUNDUP(B192/12,0)</x:f>
        <x:v>16</x:v>
      </x:c>
      <x:c r="D192" s="16" t="n">
        <x:f>H191</x:f>
        <x:v>83293.13607277314</x:v>
      </x:c>
      <x:c r="E192" s="32" t="n">
        <x:f>IF(B192&gt;'Analysis'!$C$13*12,0,'Analysis'!$G$22)</x:f>
        <x:v>786.6163221218766</x:v>
      </x:c>
      <x:c r="F192" s="32" t="n">
        <x:f>MAX(0,E192-G192)</x:f>
        <x:v>520.5821004548311</x:v>
      </x:c>
      <x:c r="G192" s="16" t="n">
        <x:f>IF(OR('Analysis'!$G$21=0,B192&gt;'Analysis'!$C$13*12),0,IF('Analysis'!$C$12=0,'Analysis'!$G$21/('Analysis'!$C$13*12),'Analysis'!$G$21*(1+'Analysis'!$C$12/12)^-('Analysis'!$C$13*12-B192)*(1-(1+'Analysis'!$C$12/12)^-1)/(1-(1+'Analysis'!$C$12/12)^-('Analysis'!$C$13*12))))</x:f>
        <x:v>266.0342216670454</x:v>
      </x:c>
      <x:c r="H192" s="16" t="n">
        <x:f>IF(B192&gt;='Analysis'!$C$13*12,0,MAX(0,D192-G192))</x:f>
        <x:v>83027.1018511061</x:v>
      </x:c>
    </x:row>
    <x:row r="193" ht="22" customHeight="1">
      <x:c r="A193" s="2"/>
      <x:c r="B193" s="41" t="n">
        <x:f>188</x:f>
        <x:v>188</x:v>
      </x:c>
      <x:c r="C193" s="41" t="n">
        <x:f>ROUNDUP(B193/12,0)</x:f>
        <x:v>16</x:v>
      </x:c>
      <x:c r="D193" s="16" t="n">
        <x:f>H192</x:f>
        <x:v>83027.1018511061</x:v>
      </x:c>
      <x:c r="E193" s="32" t="n">
        <x:f>IF(B193&gt;'Analysis'!$C$13*12,0,'Analysis'!$G$22)</x:f>
        <x:v>786.6163221218766</x:v>
      </x:c>
      <x:c r="F193" s="32" t="n">
        <x:f>MAX(0,E193-G193)</x:f>
        <x:v>518.9193865694122</x:v>
      </x:c>
      <x:c r="G193" s="16" t="n">
        <x:f>IF(OR('Analysis'!$G$21=0,B193&gt;'Analysis'!$C$13*12),0,IF('Analysis'!$C$12=0,'Analysis'!$G$21/('Analysis'!$C$13*12),'Analysis'!$G$21*(1+'Analysis'!$C$12/12)^-('Analysis'!$C$13*12-B193)*(1-(1+'Analysis'!$C$12/12)^-1)/(1-(1+'Analysis'!$C$12/12)^-('Analysis'!$C$13*12))))</x:f>
        <x:v>267.6969355524644</x:v>
      </x:c>
      <x:c r="H193" s="16" t="n">
        <x:f>IF(B193&gt;='Analysis'!$C$13*12,0,MAX(0,D193-G193))</x:f>
        <x:v>82759.40491555363</x:v>
      </x:c>
    </x:row>
    <x:row r="194" ht="22" customHeight="1">
      <x:c r="A194" s="2"/>
      <x:c r="B194" s="41" t="n">
        <x:f>189</x:f>
        <x:v>189</x:v>
      </x:c>
      <x:c r="C194" s="41" t="n">
        <x:f>ROUNDUP(B194/12,0)</x:f>
        <x:v>16</x:v>
      </x:c>
      <x:c r="D194" s="16" t="n">
        <x:f>H193</x:f>
        <x:v>82759.40491555363</x:v>
      </x:c>
      <x:c r="E194" s="32" t="n">
        <x:f>IF(B194&gt;'Analysis'!$C$13*12,0,'Analysis'!$G$22)</x:f>
        <x:v>786.6163221218766</x:v>
      </x:c>
      <x:c r="F194" s="32" t="n">
        <x:f>MAX(0,E194-G194)</x:f>
        <x:v>517.2462807222092</x:v>
      </x:c>
      <x:c r="G194" s="16" t="n">
        <x:f>IF(OR('Analysis'!$G$21=0,B194&gt;'Analysis'!$C$13*12),0,IF('Analysis'!$C$12=0,'Analysis'!$G$21/('Analysis'!$C$13*12),'Analysis'!$G$21*(1+'Analysis'!$C$12/12)^-('Analysis'!$C$13*12-B194)*(1-(1+'Analysis'!$C$12/12)^-1)/(1-(1+'Analysis'!$C$12/12)^-('Analysis'!$C$13*12))))</x:f>
        <x:v>269.37004139966734</x:v>
      </x:c>
      <x:c r="H194" s="16" t="n">
        <x:f>IF(B194&gt;='Analysis'!$C$13*12,0,MAX(0,D194-G194))</x:f>
        <x:v>82490.03487415396</x:v>
      </x:c>
    </x:row>
    <x:row r="195" ht="22" customHeight="1">
      <x:c r="A195" s="2"/>
      <x:c r="B195" s="41" t="n">
        <x:f>190</x:f>
        <x:v>190</x:v>
      </x:c>
      <x:c r="C195" s="41" t="n">
        <x:f>ROUNDUP(B195/12,0)</x:f>
        <x:v>16</x:v>
      </x:c>
      <x:c r="D195" s="16" t="n">
        <x:f>H194</x:f>
        <x:v>82490.03487415396</x:v>
      </x:c>
      <x:c r="E195" s="32" t="n">
        <x:f>IF(B195&gt;'Analysis'!$C$13*12,0,'Analysis'!$G$22)</x:f>
        <x:v>786.6163221218766</x:v>
      </x:c>
      <x:c r="F195" s="32" t="n">
        <x:f>MAX(0,E195-G195)</x:f>
        <x:v>515.5627179634613</x:v>
      </x:c>
      <x:c r="G195" s="16" t="n">
        <x:f>IF(OR('Analysis'!$G$21=0,B195&gt;'Analysis'!$C$13*12),0,IF('Analysis'!$C$12=0,'Analysis'!$G$21/('Analysis'!$C$13*12),'Analysis'!$G$21*(1+'Analysis'!$C$12/12)^-('Analysis'!$C$13*12-B195)*(1-(1+'Analysis'!$C$12/12)^-1)/(1-(1+'Analysis'!$C$12/12)^-('Analysis'!$C$13*12))))</x:f>
        <x:v>271.0536041584153</x:v>
      </x:c>
      <x:c r="H195" s="16" t="n">
        <x:f>IF(B195&gt;='Analysis'!$C$13*12,0,MAX(0,D195-G195))</x:f>
        <x:v>82218.98126999555</x:v>
      </x:c>
    </x:row>
    <x:row r="196" ht="22" customHeight="1">
      <x:c r="A196" s="2"/>
      <x:c r="B196" s="41" t="n">
        <x:f>191</x:f>
        <x:v>191</x:v>
      </x:c>
      <x:c r="C196" s="41" t="n">
        <x:f>ROUNDUP(B196/12,0)</x:f>
        <x:v>16</x:v>
      </x:c>
      <x:c r="D196" s="16" t="n">
        <x:f>H195</x:f>
        <x:v>82218.98126999555</x:v>
      </x:c>
      <x:c r="E196" s="32" t="n">
        <x:f>IF(B196&gt;'Analysis'!$C$13*12,0,'Analysis'!$G$22)</x:f>
        <x:v>786.6163221218766</x:v>
      </x:c>
      <x:c r="F196" s="32" t="n">
        <x:f>MAX(0,E196-G196)</x:f>
        <x:v>513.8686329374711</x:v>
      </x:c>
      <x:c r="G196" s="16" t="n">
        <x:f>IF(OR('Analysis'!$G$21=0,B196&gt;'Analysis'!$C$13*12),0,IF('Analysis'!$C$12=0,'Analysis'!$G$21/('Analysis'!$C$13*12),'Analysis'!$G$21*(1+'Analysis'!$C$12/12)^-('Analysis'!$C$13*12-B196)*(1-(1+'Analysis'!$C$12/12)^-1)/(1-(1+'Analysis'!$C$12/12)^-('Analysis'!$C$13*12))))</x:f>
        <x:v>272.7476891844055</x:v>
      </x:c>
      <x:c r="H196" s="16" t="n">
        <x:f>IF(B196&gt;='Analysis'!$C$13*12,0,MAX(0,D196-G196))</x:f>
        <x:v>81946.23358081114</x:v>
      </x:c>
    </x:row>
    <x:row r="197" ht="22" customHeight="1">
      <x:c r="A197" s="2"/>
      <x:c r="B197" s="41" t="n">
        <x:f>192</x:f>
        <x:v>192</x:v>
      </x:c>
      <x:c r="C197" s="41" t="n">
        <x:f>ROUNDUP(B197/12,0)</x:f>
        <x:v>16</x:v>
      </x:c>
      <x:c r="D197" s="16" t="n">
        <x:f>H196</x:f>
        <x:v>81946.23358081114</x:v>
      </x:c>
      <x:c r="E197" s="32" t="n">
        <x:f>IF(B197&gt;'Analysis'!$C$13*12,0,'Analysis'!$G$22)</x:f>
        <x:v>786.6163221218766</x:v>
      </x:c>
      <x:c r="F197" s="32" t="n">
        <x:f>MAX(0,E197-G197)</x:f>
        <x:v>512.1639598800687</x:v>
      </x:c>
      <x:c r="G197" s="16" t="n">
        <x:f>IF(OR('Analysis'!$G$21=0,B197&gt;'Analysis'!$C$13*12),0,IF('Analysis'!$C$12=0,'Analysis'!$G$21/('Analysis'!$C$13*12),'Analysis'!$G$21*(1+'Analysis'!$C$12/12)^-('Analysis'!$C$13*12-B197)*(1-(1+'Analysis'!$C$12/12)^-1)/(1-(1+'Analysis'!$C$12/12)^-('Analysis'!$C$13*12))))</x:f>
        <x:v>274.452362241808</x:v>
      </x:c>
      <x:c r="H197" s="16" t="n">
        <x:f>IF(B197&gt;='Analysis'!$C$13*12,0,MAX(0,D197-G197))</x:f>
        <x:v>81671.78121856933</x:v>
      </x:c>
    </x:row>
    <x:row r="198" ht="22" customHeight="1">
      <x:c r="A198" s="2"/>
      <x:c r="B198" s="41" t="n">
        <x:f>193</x:f>
        <x:v>193</x:v>
      </x:c>
      <x:c r="C198" s="41" t="n">
        <x:f>ROUNDUP(B198/12,0)</x:f>
        <x:v>17</x:v>
      </x:c>
      <x:c r="D198" s="16" t="n">
        <x:f>H197</x:f>
        <x:v>81671.78121856933</x:v>
      </x:c>
      <x:c r="E198" s="32" t="n">
        <x:f>IF(B198&gt;'Analysis'!$C$13*12,0,'Analysis'!$G$22)</x:f>
        <x:v>786.6163221218766</x:v>
      </x:c>
      <x:c r="F198" s="32" t="n">
        <x:f>MAX(0,E198-G198)</x:f>
        <x:v>510.4486326160573</x:v>
      </x:c>
      <x:c r="G198" s="16" t="n">
        <x:f>IF(OR('Analysis'!$G$21=0,B198&gt;'Analysis'!$C$13*12),0,IF('Analysis'!$C$12=0,'Analysis'!$G$21/('Analysis'!$C$13*12),'Analysis'!$G$21*(1+'Analysis'!$C$12/12)^-('Analysis'!$C$13*12-B198)*(1-(1+'Analysis'!$C$12/12)^-1)/(1-(1+'Analysis'!$C$12/12)^-('Analysis'!$C$13*12))))</x:f>
        <x:v>276.1676895058193</x:v>
      </x:c>
      <x:c r="H198" s="16" t="n">
        <x:f>IF(B198&gt;='Analysis'!$C$13*12,0,MAX(0,D198-G198))</x:f>
        <x:v>81395.61352906351</x:v>
      </x:c>
    </x:row>
    <x:row r="199" ht="22" customHeight="1">
      <x:c r="A199" s="2"/>
      <x:c r="B199" s="41" t="n">
        <x:f>194</x:f>
        <x:v>194</x:v>
      </x:c>
      <x:c r="C199" s="41" t="n">
        <x:f>ROUNDUP(B199/12,0)</x:f>
        <x:v>17</x:v>
      </x:c>
      <x:c r="D199" s="16" t="n">
        <x:f>H198</x:f>
        <x:v>81395.61352906351</x:v>
      </x:c>
      <x:c r="E199" s="32" t="n">
        <x:f>IF(B199&gt;'Analysis'!$C$13*12,0,'Analysis'!$G$22)</x:f>
        <x:v>786.6163221218766</x:v>
      </x:c>
      <x:c r="F199" s="32" t="n">
        <x:f>MAX(0,E199-G199)</x:f>
        <x:v>508.72258455664587</x:v>
      </x:c>
      <x:c r="G199" s="16" t="n">
        <x:f>IF(OR('Analysis'!$G$21=0,B199&gt;'Analysis'!$C$13*12),0,IF('Analysis'!$C$12=0,'Analysis'!$G$21/('Analysis'!$C$13*12),'Analysis'!$G$21*(1+'Analysis'!$C$12/12)^-('Analysis'!$C$13*12-B199)*(1-(1+'Analysis'!$C$12/12)^-1)/(1-(1+'Analysis'!$C$12/12)^-('Analysis'!$C$13*12))))</x:f>
        <x:v>277.8937375652307</x:v>
      </x:c>
      <x:c r="H199" s="16" t="n">
        <x:f>IF(B199&gt;='Analysis'!$C$13*12,0,MAX(0,D199-G199))</x:f>
        <x:v>81117.71979149828</x:v>
      </x:c>
    </x:row>
    <x:row r="200" ht="22" customHeight="1">
      <x:c r="A200" s="2"/>
      <x:c r="B200" s="41" t="n">
        <x:f>195</x:f>
        <x:v>195</x:v>
      </x:c>
      <x:c r="C200" s="41" t="n">
        <x:f>ROUNDUP(B200/12,0)</x:f>
        <x:v>17</x:v>
      </x:c>
      <x:c r="D200" s="16" t="n">
        <x:f>H199</x:f>
        <x:v>81117.71979149828</x:v>
      </x:c>
      <x:c r="E200" s="32" t="n">
        <x:f>IF(B200&gt;'Analysis'!$C$13*12,0,'Analysis'!$G$22)</x:f>
        <x:v>786.6163221218766</x:v>
      </x:c>
      <x:c r="F200" s="32" t="n">
        <x:f>MAX(0,E200-G200)</x:f>
        <x:v>506.98574869686314</x:v>
      </x:c>
      <x:c r="G200" s="16" t="n">
        <x:f>IF(OR('Analysis'!$G$21=0,B200&gt;'Analysis'!$C$13*12),0,IF('Analysis'!$C$12=0,'Analysis'!$G$21/('Analysis'!$C$13*12),'Analysis'!$G$21*(1+'Analysis'!$C$12/12)^-('Analysis'!$C$13*12-B200)*(1-(1+'Analysis'!$C$12/12)^-1)/(1-(1+'Analysis'!$C$12/12)^-('Analysis'!$C$13*12))))</x:f>
        <x:v>279.63057342501344</x:v>
      </x:c>
      <x:c r="H200" s="16" t="n">
        <x:f>IF(B200&gt;='Analysis'!$C$13*12,0,MAX(0,D200-G200))</x:f>
        <x:v>80838.08921807326</x:v>
      </x:c>
    </x:row>
    <x:row r="201" ht="22" customHeight="1">
      <x:c r="A201" s="2"/>
      <x:c r="B201" s="41" t="n">
        <x:f>196</x:f>
        <x:v>196</x:v>
      </x:c>
      <x:c r="C201" s="41" t="n">
        <x:f>ROUNDUP(B201/12,0)</x:f>
        <x:v>17</x:v>
      </x:c>
      <x:c r="D201" s="16" t="n">
        <x:f>H200</x:f>
        <x:v>80838.08921807326</x:v>
      </x:c>
      <x:c r="E201" s="32" t="n">
        <x:f>IF(B201&gt;'Analysis'!$C$13*12,0,'Analysis'!$G$22)</x:f>
        <x:v>786.6163221218766</x:v>
      </x:c>
      <x:c r="F201" s="32" t="n">
        <x:f>MAX(0,E201-G201)</x:f>
        <x:v>505.23805761295677</x:v>
      </x:c>
      <x:c r="G201" s="16" t="n">
        <x:f>IF(OR('Analysis'!$G$21=0,B201&gt;'Analysis'!$C$13*12),0,IF('Analysis'!$C$12=0,'Analysis'!$G$21/('Analysis'!$C$13*12),'Analysis'!$G$21*(1+'Analysis'!$C$12/12)^-('Analysis'!$C$13*12-B201)*(1-(1+'Analysis'!$C$12/12)^-1)/(1-(1+'Analysis'!$C$12/12)^-('Analysis'!$C$13*12))))</x:f>
        <x:v>281.3782645089198</x:v>
      </x:c>
      <x:c r="H201" s="16" t="n">
        <x:f>IF(B201&gt;='Analysis'!$C$13*12,0,MAX(0,D201-G201))</x:f>
        <x:v>80556.71095356434</x:v>
      </x:c>
    </x:row>
    <x:row r="202" ht="22" customHeight="1">
      <x:c r="A202" s="2"/>
      <x:c r="B202" s="41" t="n">
        <x:f>197</x:f>
        <x:v>197</x:v>
      </x:c>
      <x:c r="C202" s="41" t="n">
        <x:f>ROUNDUP(B202/12,0)</x:f>
        <x:v>17</x:v>
      </x:c>
      <x:c r="D202" s="16" t="n">
        <x:f>H201</x:f>
        <x:v>80556.71095356434</x:v>
      </x:c>
      <x:c r="E202" s="32" t="n">
        <x:f>IF(B202&gt;'Analysis'!$C$13*12,0,'Analysis'!$G$22)</x:f>
        <x:v>786.6163221218766</x:v>
      </x:c>
      <x:c r="F202" s="32" t="n">
        <x:f>MAX(0,E202-G202)</x:f>
        <x:v>503.479443459776</x:v>
      </x:c>
      <x:c r="G202" s="16" t="n">
        <x:f>IF(OR('Analysis'!$G$21=0,B202&gt;'Analysis'!$C$13*12),0,IF('Analysis'!$C$12=0,'Analysis'!$G$21/('Analysis'!$C$13*12),'Analysis'!$G$21*(1+'Analysis'!$C$12/12)^-('Analysis'!$C$13*12-B202)*(1-(1+'Analysis'!$C$12/12)^-1)/(1-(1+'Analysis'!$C$12/12)^-('Analysis'!$C$13*12))))</x:f>
        <x:v>283.13687866210057</x:v>
      </x:c>
      <x:c r="H202" s="16" t="n">
        <x:f>IF(B202&gt;='Analysis'!$C$13*12,0,MAX(0,D202-G202))</x:f>
        <x:v>80273.57407490224</x:v>
      </x:c>
    </x:row>
    <x:row r="203" ht="22" customHeight="1">
      <x:c r="A203" s="2"/>
      <x:c r="B203" s="41" t="n">
        <x:f>198</x:f>
        <x:v>198</x:v>
      </x:c>
      <x:c r="C203" s="41" t="n">
        <x:f>ROUNDUP(B203/12,0)</x:f>
        <x:v>17</x:v>
      </x:c>
      <x:c r="D203" s="16" t="n">
        <x:f>H202</x:f>
        <x:v>80273.57407490224</x:v>
      </x:c>
      <x:c r="E203" s="32" t="n">
        <x:f>IF(B203&gt;'Analysis'!$C$13*12,0,'Analysis'!$G$22)</x:f>
        <x:v>786.6163221218766</x:v>
      </x:c>
      <x:c r="F203" s="32" t="n">
        <x:f>MAX(0,E203-G203)</x:f>
        <x:v>501.70983796813783</x:v>
      </x:c>
      <x:c r="G203" s="16" t="n">
        <x:f>IF(OR('Analysis'!$G$21=0,B203&gt;'Analysis'!$C$13*12),0,IF('Analysis'!$C$12=0,'Analysis'!$G$21/('Analysis'!$C$13*12),'Analysis'!$G$21*(1+'Analysis'!$C$12/12)^-('Analysis'!$C$13*12-B203)*(1-(1+'Analysis'!$C$12/12)^-1)/(1-(1+'Analysis'!$C$12/12)^-('Analysis'!$C$13*12))))</x:f>
        <x:v>284.90648415373875</x:v>
      </x:c>
      <x:c r="H203" s="16" t="n">
        <x:f>IF(B203&gt;='Analysis'!$C$13*12,0,MAX(0,D203-G203))</x:f>
        <x:v>79988.6675907485</x:v>
      </x:c>
    </x:row>
    <x:row r="204" ht="22" customHeight="1">
      <x:c r="A204" s="2"/>
      <x:c r="B204" s="41" t="n">
        <x:f>199</x:f>
        <x:v>199</x:v>
      </x:c>
      <x:c r="C204" s="41" t="n">
        <x:f>ROUNDUP(B204/12,0)</x:f>
        <x:v>17</x:v>
      </x:c>
      <x:c r="D204" s="16" t="n">
        <x:f>H203</x:f>
        <x:v>79988.6675907485</x:v>
      </x:c>
      <x:c r="E204" s="32" t="n">
        <x:f>IF(B204&gt;'Analysis'!$C$13*12,0,'Analysis'!$G$22)</x:f>
        <x:v>786.6163221218766</x:v>
      </x:c>
      <x:c r="F204" s="32" t="n">
        <x:f>MAX(0,E204-G204)</x:f>
        <x:v>499.929172442177</x:v>
      </x:c>
      <x:c r="G204" s="16" t="n">
        <x:f>IF(OR('Analysis'!$G$21=0,B204&gt;'Analysis'!$C$13*12),0,IF('Analysis'!$C$12=0,'Analysis'!$G$21/('Analysis'!$C$13*12),'Analysis'!$G$21*(1+'Analysis'!$C$12/12)^-('Analysis'!$C$13*12-B204)*(1-(1+'Analysis'!$C$12/12)^-1)/(1-(1+'Analysis'!$C$12/12)^-('Analysis'!$C$13*12))))</x:f>
        <x:v>286.6871496796996</x:v>
      </x:c>
      <x:c r="H204" s="16" t="n">
        <x:f>IF(B204&gt;='Analysis'!$C$13*12,0,MAX(0,D204-G204))</x:f>
        <x:v>79701.98044106881</x:v>
      </x:c>
    </x:row>
    <x:row r="205" ht="22" customHeight="1">
      <x:c r="A205" s="2"/>
      <x:c r="B205" s="41" t="n">
        <x:f>200</x:f>
        <x:v>200</x:v>
      </x:c>
      <x:c r="C205" s="41" t="n">
        <x:f>ROUNDUP(B205/12,0)</x:f>
        <x:v>17</x:v>
      </x:c>
      <x:c r="D205" s="16" t="n">
        <x:f>H204</x:f>
        <x:v>79701.98044106881</x:v>
      </x:c>
      <x:c r="E205" s="32" t="n">
        <x:f>IF(B205&gt;'Analysis'!$C$13*12,0,'Analysis'!$G$22)</x:f>
        <x:v>786.6163221218766</x:v>
      </x:c>
      <x:c r="F205" s="32" t="n">
        <x:f>MAX(0,E205-G205)</x:f>
        <x:v>498.13737775667875</x:v>
      </x:c>
      <x:c r="G205" s="16" t="n">
        <x:f>IF(OR('Analysis'!$G$21=0,B205&gt;'Analysis'!$C$13*12),0,IF('Analysis'!$C$12=0,'Analysis'!$G$21/('Analysis'!$C$13*12),'Analysis'!$G$21*(1+'Analysis'!$C$12/12)^-('Analysis'!$C$13*12-B205)*(1-(1+'Analysis'!$C$12/12)^-1)/(1-(1+'Analysis'!$C$12/12)^-('Analysis'!$C$13*12))))</x:f>
        <x:v>288.47894436519783</x:v>
      </x:c>
      <x:c r="H205" s="16" t="n">
        <x:f>IF(B205&gt;='Analysis'!$C$13*12,0,MAX(0,D205-G205))</x:f>
        <x:v>79413.50149670361</x:v>
      </x:c>
    </x:row>
    <x:row r="206" ht="22" customHeight="1">
      <x:c r="A206" s="2"/>
      <x:c r="B206" s="41" t="n">
        <x:f>201</x:f>
        <x:v>201</x:v>
      </x:c>
      <x:c r="C206" s="41" t="n">
        <x:f>ROUNDUP(B206/12,0)</x:f>
        <x:v>17</x:v>
      </x:c>
      <x:c r="D206" s="16" t="n">
        <x:f>H205</x:f>
        <x:v>79413.50149670361</x:v>
      </x:c>
      <x:c r="E206" s="32" t="n">
        <x:f>IF(B206&gt;'Analysis'!$C$13*12,0,'Analysis'!$G$22)</x:f>
        <x:v>786.6163221218766</x:v>
      </x:c>
      <x:c r="F206" s="32" t="n">
        <x:f>MAX(0,E206-G206)</x:f>
        <x:v>496.33438435439626</x:v>
      </x:c>
      <x:c r="G206" s="16" t="n">
        <x:f>IF(OR('Analysis'!$G$21=0,B206&gt;'Analysis'!$C$13*12),0,IF('Analysis'!$C$12=0,'Analysis'!$G$21/('Analysis'!$C$13*12),'Analysis'!$G$21*(1+'Analysis'!$C$12/12)^-('Analysis'!$C$13*12-B206)*(1-(1+'Analysis'!$C$12/12)^-1)/(1-(1+'Analysis'!$C$12/12)^-('Analysis'!$C$13*12))))</x:f>
        <x:v>290.2819377674803</x:v>
      </x:c>
      <x:c r="H206" s="16" t="n">
        <x:f>IF(B206&gt;='Analysis'!$C$13*12,0,MAX(0,D206-G206))</x:f>
        <x:v>79123.21955893614</x:v>
      </x:c>
    </x:row>
    <x:row r="207" ht="22" customHeight="1">
      <x:c r="A207" s="2"/>
      <x:c r="B207" s="41" t="n">
        <x:f>202</x:f>
        <x:v>202</x:v>
      </x:c>
      <x:c r="C207" s="41" t="n">
        <x:f>ROUNDUP(B207/12,0)</x:f>
        <x:v>17</x:v>
      </x:c>
      <x:c r="D207" s="16" t="n">
        <x:f>H206</x:f>
        <x:v>79123.21955893614</x:v>
      </x:c>
      <x:c r="E207" s="32" t="n">
        <x:f>IF(B207&gt;'Analysis'!$C$13*12,0,'Analysis'!$G$22)</x:f>
        <x:v>786.6163221218766</x:v>
      </x:c>
      <x:c r="F207" s="32" t="n">
        <x:f>MAX(0,E207-G207)</x:f>
        <x:v>494.52012224334953</x:v>
      </x:c>
      <x:c r="G207" s="16" t="n">
        <x:f>IF(OR('Analysis'!$G$21=0,B207&gt;'Analysis'!$C$13*12),0,IF('Analysis'!$C$12=0,'Analysis'!$G$21/('Analysis'!$C$13*12),'Analysis'!$G$21*(1+'Analysis'!$C$12/12)^-('Analysis'!$C$13*12-B207)*(1-(1+'Analysis'!$C$12/12)^-1)/(1-(1+'Analysis'!$C$12/12)^-('Analysis'!$C$13*12))))</x:f>
        <x:v>292.09619987852705</x:v>
      </x:c>
      <x:c r="H207" s="16" t="n">
        <x:f>IF(B207&gt;='Analysis'!$C$13*12,0,MAX(0,D207-G207))</x:f>
        <x:v>78831.12335905762</x:v>
      </x:c>
    </x:row>
    <x:row r="208" ht="22" customHeight="1">
      <x:c r="A208" s="2"/>
      <x:c r="B208" s="41" t="n">
        <x:f>203</x:f>
        <x:v>203</x:v>
      </x:c>
      <x:c r="C208" s="41" t="n">
        <x:f>ROUNDUP(B208/12,0)</x:f>
        <x:v>17</x:v>
      </x:c>
      <x:c r="D208" s="16" t="n">
        <x:f>H207</x:f>
        <x:v>78831.12335905762</x:v>
      </x:c>
      <x:c r="E208" s="32" t="n">
        <x:f>IF(B208&gt;'Analysis'!$C$13*12,0,'Analysis'!$G$22)</x:f>
        <x:v>786.6163221218766</x:v>
      </x:c>
      <x:c r="F208" s="32" t="n">
        <x:f>MAX(0,E208-G208)</x:f>
        <x:v>492.6945209941087</x:v>
      </x:c>
      <x:c r="G208" s="16" t="n">
        <x:f>IF(OR('Analysis'!$G$21=0,B208&gt;'Analysis'!$C$13*12),0,IF('Analysis'!$C$12=0,'Analysis'!$G$21/('Analysis'!$C$13*12),'Analysis'!$G$21*(1+'Analysis'!$C$12/12)^-('Analysis'!$C$13*12-B208)*(1-(1+'Analysis'!$C$12/12)^-1)/(1-(1+'Analysis'!$C$12/12)^-('Analysis'!$C$13*12))))</x:f>
        <x:v>293.9218011277679</x:v>
      </x:c>
      <x:c r="H208" s="16" t="n">
        <x:f>IF(B208&gt;='Analysis'!$C$13*12,0,MAX(0,D208-G208))</x:f>
        <x:v>78537.20155792985</x:v>
      </x:c>
    </x:row>
    <x:row r="209" ht="22" customHeight="1">
      <x:c r="A209" s="2"/>
      <x:c r="B209" s="41" t="n">
        <x:f>204</x:f>
        <x:v>204</x:v>
      </x:c>
      <x:c r="C209" s="41" t="n">
        <x:f>ROUNDUP(B209/12,0)</x:f>
        <x:v>17</x:v>
      </x:c>
      <x:c r="D209" s="16" t="n">
        <x:f>H208</x:f>
        <x:v>78537.20155792985</x:v>
      </x:c>
      <x:c r="E209" s="32" t="n">
        <x:f>IF(B209&gt;'Analysis'!$C$13*12,0,'Analysis'!$G$22)</x:f>
        <x:v>786.6163221218766</x:v>
      </x:c>
      <x:c r="F209" s="32" t="n">
        <x:f>MAX(0,E209-G209)</x:f>
        <x:v>490.8575097370602</x:v>
      </x:c>
      <x:c r="G209" s="16" t="n">
        <x:f>IF(OR('Analysis'!$G$21=0,B209&gt;'Analysis'!$C$13*12),0,IF('Analysis'!$C$12=0,'Analysis'!$G$21/('Analysis'!$C$13*12),'Analysis'!$G$21*(1+'Analysis'!$C$12/12)^-('Analysis'!$C$13*12-B209)*(1-(1+'Analysis'!$C$12/12)^-1)/(1-(1+'Analysis'!$C$12/12)^-('Analysis'!$C$13*12))))</x:f>
        <x:v>295.7588123848164</x:v>
      </x:c>
      <x:c r="H209" s="16" t="n">
        <x:f>IF(B209&gt;='Analysis'!$C$13*12,0,MAX(0,D209-G209))</x:f>
        <x:v>78241.44274554503</x:v>
      </x:c>
    </x:row>
    <x:row r="210" ht="22" customHeight="1">
      <x:c r="A210" s="2"/>
      <x:c r="B210" s="41" t="n">
        <x:f>205</x:f>
        <x:v>205</x:v>
      </x:c>
      <x:c r="C210" s="41" t="n">
        <x:f>ROUNDUP(B210/12,0)</x:f>
        <x:v>18</x:v>
      </x:c>
      <x:c r="D210" s="16" t="n">
        <x:f>H209</x:f>
        <x:v>78241.44274554503</x:v>
      </x:c>
      <x:c r="E210" s="32" t="n">
        <x:f>IF(B210&gt;'Analysis'!$C$13*12,0,'Analysis'!$G$22)</x:f>
        <x:v>786.6163221218766</x:v>
      </x:c>
      <x:c r="F210" s="32" t="n">
        <x:f>MAX(0,E210-G210)</x:f>
        <x:v>489.00901715965506</x:v>
      </x:c>
      <x:c r="G210" s="16" t="n">
        <x:f>IF(OR('Analysis'!$G$21=0,B210&gt;'Analysis'!$C$13*12),0,IF('Analysis'!$C$12=0,'Analysis'!$G$21/('Analysis'!$C$13*12),'Analysis'!$G$21*(1+'Analysis'!$C$12/12)^-('Analysis'!$C$13*12-B210)*(1-(1+'Analysis'!$C$12/12)^-1)/(1-(1+'Analysis'!$C$12/12)^-('Analysis'!$C$13*12))))</x:f>
        <x:v>297.6073049622215</x:v>
      </x:c>
      <x:c r="H210" s="16" t="n">
        <x:f>IF(B210&gt;='Analysis'!$C$13*12,0,MAX(0,D210-G210))</x:f>
        <x:v>77943.83544058281</x:v>
      </x:c>
    </x:row>
    <x:row r="211" ht="22" customHeight="1">
      <x:c r="A211" s="2"/>
      <x:c r="B211" s="41" t="n">
        <x:f>206</x:f>
        <x:v>206</x:v>
      </x:c>
      <x:c r="C211" s="41" t="n">
        <x:f>ROUNDUP(B211/12,0)</x:f>
        <x:v>18</x:v>
      </x:c>
      <x:c r="D211" s="16" t="n">
        <x:f>H210</x:f>
        <x:v>77943.83544058281</x:v>
      </x:c>
      <x:c r="E211" s="32" t="n">
        <x:f>IF(B211&gt;'Analysis'!$C$13*12,0,'Analysis'!$G$22)</x:f>
        <x:v>786.6163221218766</x:v>
      </x:c>
      <x:c r="F211" s="32" t="n">
        <x:f>MAX(0,E211-G211)</x:f>
        <x:v>487.1489715036411</x:v>
      </x:c>
      <x:c r="G211" s="16" t="n">
        <x:f>IF(OR('Analysis'!$G$21=0,B211&gt;'Analysis'!$C$13*12),0,IF('Analysis'!$C$12=0,'Analysis'!$G$21/('Analysis'!$C$13*12),'Analysis'!$G$21*(1+'Analysis'!$C$12/12)^-('Analysis'!$C$13*12-B211)*(1-(1+'Analysis'!$C$12/12)^-1)/(1-(1+'Analysis'!$C$12/12)^-('Analysis'!$C$13*12))))</x:f>
        <x:v>299.46735061823546</x:v>
      </x:c>
      <x:c r="H211" s="16" t="n">
        <x:f>IF(B211&gt;='Analysis'!$C$13*12,0,MAX(0,D211-G211))</x:f>
        <x:v>77644.36808996458</x:v>
      </x:c>
    </x:row>
    <x:row r="212" ht="22" customHeight="1">
      <x:c r="A212" s="2"/>
      <x:c r="B212" s="41" t="n">
        <x:f>207</x:f>
        <x:v>207</x:v>
      </x:c>
      <x:c r="C212" s="41" t="n">
        <x:f>ROUNDUP(B212/12,0)</x:f>
        <x:v>18</x:v>
      </x:c>
      <x:c r="D212" s="16" t="n">
        <x:f>H211</x:f>
        <x:v>77644.36808996458</x:v>
      </x:c>
      <x:c r="E212" s="32" t="n">
        <x:f>IF(B212&gt;'Analysis'!$C$13*12,0,'Analysis'!$G$22)</x:f>
        <x:v>786.6163221218766</x:v>
      </x:c>
      <x:c r="F212" s="32" t="n">
        <x:f>MAX(0,E212-G212)</x:f>
        <x:v>485.2773005622771</x:v>
      </x:c>
      <x:c r="G212" s="16" t="n">
        <x:f>IF(OR('Analysis'!$G$21=0,B212&gt;'Analysis'!$C$13*12),0,IF('Analysis'!$C$12=0,'Analysis'!$G$21/('Analysis'!$C$13*12),'Analysis'!$G$21*(1+'Analysis'!$C$12/12)^-('Analysis'!$C$13*12-B212)*(1-(1+'Analysis'!$C$12/12)^-1)/(1-(1+'Analysis'!$C$12/12)^-('Analysis'!$C$13*12))))</x:f>
        <x:v>301.3390215595995</x:v>
      </x:c>
      <x:c r="H212" s="16" t="n">
        <x:f>IF(B212&gt;='Analysis'!$C$13*12,0,MAX(0,D212-G212))</x:f>
        <x:v>77343.02906840498</x:v>
      </x:c>
    </x:row>
    <x:row r="213" ht="22" customHeight="1">
      <x:c r="A213" s="2"/>
      <x:c r="B213" s="41" t="n">
        <x:f>208</x:f>
        <x:v>208</x:v>
      </x:c>
      <x:c r="C213" s="41" t="n">
        <x:f>ROUNDUP(B213/12,0)</x:f>
        <x:v>18</x:v>
      </x:c>
      <x:c r="D213" s="16" t="n">
        <x:f>H212</x:f>
        <x:v>77343.02906840498</x:v>
      </x:c>
      <x:c r="E213" s="32" t="n">
        <x:f>IF(B213&gt;'Analysis'!$C$13*12,0,'Analysis'!$G$22)</x:f>
        <x:v>786.6163221218766</x:v>
      </x:c>
      <x:c r="F213" s="32" t="n">
        <x:f>MAX(0,E213-G213)</x:f>
        <x:v>483.3939316775295</x:v>
      </x:c>
      <x:c r="G213" s="16" t="n">
        <x:f>IF(OR('Analysis'!$G$21=0,B213&gt;'Analysis'!$C$13*12),0,IF('Analysis'!$C$12=0,'Analysis'!$G$21/('Analysis'!$C$13*12),'Analysis'!$G$21*(1+'Analysis'!$C$12/12)^-('Analysis'!$C$13*12-B213)*(1-(1+'Analysis'!$C$12/12)^-1)/(1-(1+'Analysis'!$C$12/12)^-('Analysis'!$C$13*12))))</x:f>
        <x:v>303.22239044434707</x:v>
      </x:c>
      <x:c r="H213" s="16" t="n">
        <x:f>IF(B213&gt;='Analysis'!$C$13*12,0,MAX(0,D213-G213))</x:f>
        <x:v>77039.80667796063</x:v>
      </x:c>
    </x:row>
    <x:row r="214" ht="22" customHeight="1">
      <x:c r="A214" s="2"/>
      <x:c r="B214" s="41" t="n">
        <x:f>209</x:f>
        <x:v>209</x:v>
      </x:c>
      <x:c r="C214" s="41" t="n">
        <x:f>ROUNDUP(B214/12,0)</x:f>
        <x:v>18</x:v>
      </x:c>
      <x:c r="D214" s="16" t="n">
        <x:f>H213</x:f>
        <x:v>77039.80667796063</x:v>
      </x:c>
      <x:c r="E214" s="32" t="n">
        <x:f>IF(B214&gt;'Analysis'!$C$13*12,0,'Analysis'!$G$22)</x:f>
        <x:v>786.6163221218766</x:v>
      </x:c>
      <x:c r="F214" s="32" t="n">
        <x:f>MAX(0,E214-G214)</x:f>
        <x:v>481.4987917372524</x:v>
      </x:c>
      <x:c r="G214" s="16" t="n">
        <x:f>IF(OR('Analysis'!$G$21=0,B214&gt;'Analysis'!$C$13*12),0,IF('Analysis'!$C$12=0,'Analysis'!$G$21/('Analysis'!$C$13*12),'Analysis'!$G$21*(1+'Analysis'!$C$12/12)^-('Analysis'!$C$13*12-B214)*(1-(1+'Analysis'!$C$12/12)^-1)/(1-(1+'Analysis'!$C$12/12)^-('Analysis'!$C$13*12))))</x:f>
        <x:v>305.11753038462416</x:v>
      </x:c>
      <x:c r="H214" s="16" t="n">
        <x:f>IF(B214&gt;='Analysis'!$C$13*12,0,MAX(0,D214-G214))</x:f>
        <x:v>76734.689147576</x:v>
      </x:c>
    </x:row>
    <x:row r="215" ht="22" customHeight="1">
      <x:c r="A215" s="2"/>
      <x:c r="B215" s="41" t="n">
        <x:f>210</x:f>
        <x:v>210</x:v>
      </x:c>
      <x:c r="C215" s="41" t="n">
        <x:f>ROUNDUP(B215/12,0)</x:f>
        <x:v>18</x:v>
      </x:c>
      <x:c r="D215" s="16" t="n">
        <x:f>H214</x:f>
        <x:v>76734.689147576</x:v>
      </x:c>
      <x:c r="E215" s="32" t="n">
        <x:f>IF(B215&gt;'Analysis'!$C$13*12,0,'Analysis'!$G$22)</x:f>
        <x:v>786.6163221218766</x:v>
      </x:c>
      <x:c r="F215" s="32" t="n">
        <x:f>MAX(0,E215-G215)</x:f>
        <x:v>479.5918071723484</x:v>
      </x:c>
      <x:c r="G215" s="16" t="n">
        <x:f>IF(OR('Analysis'!$G$21=0,B215&gt;'Analysis'!$C$13*12),0,IF('Analysis'!$C$12=0,'Analysis'!$G$21/('Analysis'!$C$13*12),'Analysis'!$G$21*(1+'Analysis'!$C$12/12)^-('Analysis'!$C$13*12-B215)*(1-(1+'Analysis'!$C$12/12)^-1)/(1-(1+'Analysis'!$C$12/12)^-('Analysis'!$C$13*12))))</x:f>
        <x:v>307.02451494952817</x:v>
      </x:c>
      <x:c r="H215" s="16" t="n">
        <x:f>IF(B215&gt;='Analysis'!$C$13*12,0,MAX(0,D215-G215))</x:f>
        <x:v>76427.66463262647</x:v>
      </x:c>
    </x:row>
    <x:row r="216" ht="22" customHeight="1">
      <x:c r="A216" s="2"/>
      <x:c r="B216" s="41" t="n">
        <x:f>211</x:f>
        <x:v>211</x:v>
      </x:c>
      <x:c r="C216" s="41" t="n">
        <x:f>ROUNDUP(B216/12,0)</x:f>
        <x:v>18</x:v>
      </x:c>
      <x:c r="D216" s="16" t="n">
        <x:f>H215</x:f>
        <x:v>76427.66463262647</x:v>
      </x:c>
      <x:c r="E216" s="32" t="n">
        <x:f>IF(B216&gt;'Analysis'!$C$13*12,0,'Analysis'!$G$22)</x:f>
        <x:v>786.6163221218766</x:v>
      </x:c>
      <x:c r="F216" s="32" t="n">
        <x:f>MAX(0,E216-G216)</x:f>
        <x:v>477.6729039539139</x:v>
      </x:c>
      <x:c r="G216" s="16" t="n">
        <x:f>IF(OR('Analysis'!$G$21=0,B216&gt;'Analysis'!$C$13*12),0,IF('Analysis'!$C$12=0,'Analysis'!$G$21/('Analysis'!$C$13*12),'Analysis'!$G$21*(1+'Analysis'!$C$12/12)^-('Analysis'!$C$13*12-B216)*(1-(1+'Analysis'!$C$12/12)^-1)/(1-(1+'Analysis'!$C$12/12)^-('Analysis'!$C$13*12))))</x:f>
        <x:v>308.9434181679627</x:v>
      </x:c>
      <x:c r="H216" s="16" t="n">
        <x:f>IF(B216&gt;='Analysis'!$C$13*12,0,MAX(0,D216-G216))</x:f>
        <x:v>76118.7212144585</x:v>
      </x:c>
    </x:row>
    <x:row r="217" ht="22" customHeight="1">
      <x:c r="A217" s="2"/>
      <x:c r="B217" s="41" t="n">
        <x:f>212</x:f>
        <x:v>212</x:v>
      </x:c>
      <x:c r="C217" s="41" t="n">
        <x:f>ROUNDUP(B217/12,0)</x:f>
        <x:v>18</x:v>
      </x:c>
      <x:c r="D217" s="16" t="n">
        <x:f>H216</x:f>
        <x:v>76118.7212144585</x:v>
      </x:c>
      <x:c r="E217" s="32" t="n">
        <x:f>IF(B217&gt;'Analysis'!$C$13*12,0,'Analysis'!$G$22)</x:f>
        <x:v>786.6163221218766</x:v>
      </x:c>
      <x:c r="F217" s="32" t="n">
        <x:f>MAX(0,E217-G217)</x:f>
        <x:v>475.74200759036404</x:v>
      </x:c>
      <x:c r="G217" s="16" t="n">
        <x:f>IF(OR('Analysis'!$G$21=0,B217&gt;'Analysis'!$C$13*12),0,IF('Analysis'!$C$12=0,'Analysis'!$G$21/('Analysis'!$C$13*12),'Analysis'!$G$21*(1+'Analysis'!$C$12/12)^-('Analysis'!$C$13*12-B217)*(1-(1+'Analysis'!$C$12/12)^-1)/(1-(1+'Analysis'!$C$12/12)^-('Analysis'!$C$13*12))))</x:f>
        <x:v>310.87431453151254</x:v>
      </x:c>
      <x:c r="H217" s="16" t="n">
        <x:f>IF(B217&gt;='Analysis'!$C$13*12,0,MAX(0,D217-G217))</x:f>
        <x:v>75807.846899927</x:v>
      </x:c>
    </x:row>
    <x:row r="218" ht="22" customHeight="1">
      <x:c r="A218" s="2"/>
      <x:c r="B218" s="41" t="n">
        <x:f>213</x:f>
        <x:v>213</x:v>
      </x:c>
      <x:c r="C218" s="41" t="n">
        <x:f>ROUNDUP(B218/12,0)</x:f>
        <x:v>18</x:v>
      </x:c>
      <x:c r="D218" s="16" t="n">
        <x:f>H217</x:f>
        <x:v>75807.846899927</x:v>
      </x:c>
      <x:c r="E218" s="32" t="n">
        <x:f>IF(B218&gt;'Analysis'!$C$13*12,0,'Analysis'!$G$22)</x:f>
        <x:v>786.6163221218766</x:v>
      </x:c>
      <x:c r="F218" s="32" t="n">
        <x:f>MAX(0,E218-G218)</x:f>
        <x:v>473.7990431245421</x:v>
      </x:c>
      <x:c r="G218" s="16" t="n">
        <x:f>IF(OR('Analysis'!$G$21=0,B218&gt;'Analysis'!$C$13*12),0,IF('Analysis'!$C$12=0,'Analysis'!$G$21/('Analysis'!$C$13*12),'Analysis'!$G$21*(1+'Analysis'!$C$12/12)^-('Analysis'!$C$13*12-B218)*(1-(1+'Analysis'!$C$12/12)^-1)/(1-(1+'Analysis'!$C$12/12)^-('Analysis'!$C$13*12))))</x:f>
        <x:v>312.8172789973345</x:v>
      </x:c>
      <x:c r="H218" s="16" t="n">
        <x:f>IF(B218&gt;='Analysis'!$C$13*12,0,MAX(0,D218-G218))</x:f>
        <x:v>75495.02962092966</x:v>
      </x:c>
    </x:row>
    <x:row r="219" ht="22" customHeight="1">
      <x:c r="A219" s="2"/>
      <x:c r="B219" s="41" t="n">
        <x:f>214</x:f>
        <x:v>214</x:v>
      </x:c>
      <x:c r="C219" s="41" t="n">
        <x:f>ROUNDUP(B219/12,0)</x:f>
        <x:v>18</x:v>
      </x:c>
      <x:c r="D219" s="16" t="n">
        <x:f>H218</x:f>
        <x:v>75495.02962092966</x:v>
      </x:c>
      <x:c r="E219" s="32" t="n">
        <x:f>IF(B219&gt;'Analysis'!$C$13*12,0,'Analysis'!$G$22)</x:f>
        <x:v>786.6163221218766</x:v>
      </x:c>
      <x:c r="F219" s="32" t="n">
        <x:f>MAX(0,E219-G219)</x:f>
        <x:v>471.84393513080875</x:v>
      </x:c>
      <x:c r="G219" s="16" t="n">
        <x:f>IF(OR('Analysis'!$G$21=0,B219&gt;'Analysis'!$C$13*12),0,IF('Analysis'!$C$12=0,'Analysis'!$G$21/('Analysis'!$C$13*12),'Analysis'!$G$21*(1+'Analysis'!$C$12/12)^-('Analysis'!$C$13*12-B219)*(1-(1+'Analysis'!$C$12/12)^-1)/(1-(1+'Analysis'!$C$12/12)^-('Analysis'!$C$13*12))))</x:f>
        <x:v>314.77238699106783</x:v>
      </x:c>
      <x:c r="H219" s="16" t="n">
        <x:f>IF(B219&gt;='Analysis'!$C$13*12,0,MAX(0,D219-G219))</x:f>
        <x:v>75180.2572339386</x:v>
      </x:c>
    </x:row>
    <x:row r="220" ht="22" customHeight="1">
      <x:c r="A220" s="2"/>
      <x:c r="B220" s="41" t="n">
        <x:f>215</x:f>
        <x:v>215</x:v>
      </x:c>
      <x:c r="C220" s="41" t="n">
        <x:f>ROUNDUP(B220/12,0)</x:f>
        <x:v>18</x:v>
      </x:c>
      <x:c r="D220" s="16" t="n">
        <x:f>H219</x:f>
        <x:v>75180.2572339386</x:v>
      </x:c>
      <x:c r="E220" s="32" t="n">
        <x:f>IF(B220&gt;'Analysis'!$C$13*12,0,'Analysis'!$G$22)</x:f>
        <x:v>786.6163221218766</x:v>
      </x:c>
      <x:c r="F220" s="32" t="n">
        <x:f>MAX(0,E220-G220)</x:f>
        <x:v>469.87660771211455</x:v>
      </x:c>
      <x:c r="G220" s="16" t="n">
        <x:f>IF(OR('Analysis'!$G$21=0,B220&gt;'Analysis'!$C$13*12),0,IF('Analysis'!$C$12=0,'Analysis'!$G$21/('Analysis'!$C$13*12),'Analysis'!$G$21*(1+'Analysis'!$C$12/12)^-('Analysis'!$C$13*12-B220)*(1-(1+'Analysis'!$C$12/12)^-1)/(1-(1+'Analysis'!$C$12/12)^-('Analysis'!$C$13*12))))</x:f>
        <x:v>316.73971440976203</x:v>
      </x:c>
      <x:c r="H220" s="16" t="n">
        <x:f>IF(B220&gt;='Analysis'!$C$13*12,0,MAX(0,D220-G220))</x:f>
        <x:v>74863.51751952883</x:v>
      </x:c>
    </x:row>
    <x:row r="221" ht="22" customHeight="1">
      <x:c r="A221" s="2"/>
      <x:c r="B221" s="41" t="n">
        <x:f>216</x:f>
        <x:v>216</x:v>
      </x:c>
      <x:c r="C221" s="41" t="n">
        <x:f>ROUNDUP(B221/12,0)</x:f>
        <x:v>18</x:v>
      </x:c>
      <x:c r="D221" s="16" t="n">
        <x:f>H220</x:f>
        <x:v>74863.51751952883</x:v>
      </x:c>
      <x:c r="E221" s="32" t="n">
        <x:f>IF(B221&gt;'Analysis'!$C$13*12,0,'Analysis'!$G$22)</x:f>
        <x:v>786.6163221218766</x:v>
      </x:c>
      <x:c r="F221" s="32" t="n">
        <x:f>MAX(0,E221-G221)</x:f>
        <x:v>467.8969844970535</x:v>
      </x:c>
      <x:c r="G221" s="16" t="n">
        <x:f>IF(OR('Analysis'!$G$21=0,B221&gt;'Analysis'!$C$13*12),0,IF('Analysis'!$C$12=0,'Analysis'!$G$21/('Analysis'!$C$13*12),'Analysis'!$G$21*(1+'Analysis'!$C$12/12)^-('Analysis'!$C$13*12-B221)*(1-(1+'Analysis'!$C$12/12)^-1)/(1-(1+'Analysis'!$C$12/12)^-('Analysis'!$C$13*12))))</x:f>
        <x:v>318.7193376248231</x:v>
      </x:c>
      <x:c r="H221" s="16" t="n">
        <x:f>IF(B221&gt;='Analysis'!$C$13*12,0,MAX(0,D221-G221))</x:f>
        <x:v>74544.79818190401</x:v>
      </x:c>
    </x:row>
    <x:row r="222" ht="22" customHeight="1">
      <x:c r="A222" s="2"/>
      <x:c r="B222" s="41" t="n">
        <x:f>217</x:f>
        <x:v>217</x:v>
      </x:c>
      <x:c r="C222" s="41" t="n">
        <x:f>ROUNDUP(B222/12,0)</x:f>
        <x:v>19</x:v>
      </x:c>
      <x:c r="D222" s="16" t="n">
        <x:f>H221</x:f>
        <x:v>74544.79818190401</x:v>
      </x:c>
      <x:c r="E222" s="32" t="n">
        <x:f>IF(B222&gt;'Analysis'!$C$13*12,0,'Analysis'!$G$22)</x:f>
        <x:v>786.6163221218766</x:v>
      </x:c>
      <x:c r="F222" s="32" t="n">
        <x:f>MAX(0,E222-G222)</x:f>
        <x:v>465.90498863689834</x:v>
      </x:c>
      <x:c r="G222" s="16" t="n">
        <x:f>IF(OR('Analysis'!$G$21=0,B222&gt;'Analysis'!$C$13*12),0,IF('Analysis'!$C$12=0,'Analysis'!$G$21/('Analysis'!$C$13*12),'Analysis'!$G$21*(1+'Analysis'!$C$12/12)^-('Analysis'!$C$13*12-B222)*(1-(1+'Analysis'!$C$12/12)^-1)/(1-(1+'Analysis'!$C$12/12)^-('Analysis'!$C$13*12))))</x:f>
        <x:v>320.71133348497824</x:v>
      </x:c>
      <x:c r="H222" s="16" t="n">
        <x:f>IF(B222&gt;='Analysis'!$C$13*12,0,MAX(0,D222-G222))</x:f>
        <x:v>74224.08684841904</x:v>
      </x:c>
    </x:row>
    <x:row r="223" ht="22" customHeight="1">
      <x:c r="A223" s="2"/>
      <x:c r="B223" s="41" t="n">
        <x:f>218</x:f>
        <x:v>218</x:v>
      </x:c>
      <x:c r="C223" s="41" t="n">
        <x:f>ROUNDUP(B223/12,0)</x:f>
        <x:v>19</x:v>
      </x:c>
      <x:c r="D223" s="16" t="n">
        <x:f>H222</x:f>
        <x:v>74224.08684841904</x:v>
      </x:c>
      <x:c r="E223" s="32" t="n">
        <x:f>IF(B223&gt;'Analysis'!$C$13*12,0,'Analysis'!$G$22)</x:f>
        <x:v>786.6163221218766</x:v>
      </x:c>
      <x:c r="F223" s="32" t="n">
        <x:f>MAX(0,E223-G223)</x:f>
        <x:v>463.90054280261717</x:v>
      </x:c>
      <x:c r="G223" s="16" t="n">
        <x:f>IF(OR('Analysis'!$G$21=0,B223&gt;'Analysis'!$C$13*12),0,IF('Analysis'!$C$12=0,'Analysis'!$G$21/('Analysis'!$C$13*12),'Analysis'!$G$21*(1+'Analysis'!$C$12/12)^-('Analysis'!$C$13*12-B223)*(1-(1+'Analysis'!$C$12/12)^-1)/(1-(1+'Analysis'!$C$12/12)^-('Analysis'!$C$13*12))))</x:f>
        <x:v>322.7157793192594</x:v>
      </x:c>
      <x:c r="H223" s="16" t="n">
        <x:f>IF(B223&gt;='Analysis'!$C$13*12,0,MAX(0,D223-G223))</x:f>
        <x:v>73901.37106909978</x:v>
      </x:c>
    </x:row>
    <x:row r="224" ht="22" customHeight="1">
      <x:c r="A224" s="2"/>
      <x:c r="B224" s="41" t="n">
        <x:f>219</x:f>
        <x:v>219</x:v>
      </x:c>
      <x:c r="C224" s="41" t="n">
        <x:f>ROUNDUP(B224/12,0)</x:f>
        <x:v>19</x:v>
      </x:c>
      <x:c r="D224" s="16" t="n">
        <x:f>H223</x:f>
        <x:v>73901.37106909978</x:v>
      </x:c>
      <x:c r="E224" s="32" t="n">
        <x:f>IF(B224&gt;'Analysis'!$C$13*12,0,'Analysis'!$G$22)</x:f>
        <x:v>786.6163221218766</x:v>
      </x:c>
      <x:c r="F224" s="32" t="n">
        <x:f>MAX(0,E224-G224)</x:f>
        <x:v>461.88356918187174</x:v>
      </x:c>
      <x:c r="G224" s="16" t="n">
        <x:f>IF(OR('Analysis'!$G$21=0,B224&gt;'Analysis'!$C$13*12),0,IF('Analysis'!$C$12=0,'Analysis'!$G$21/('Analysis'!$C$13*12),'Analysis'!$G$21*(1+'Analysis'!$C$12/12)^-('Analysis'!$C$13*12-B224)*(1-(1+'Analysis'!$C$12/12)^-1)/(1-(1+'Analysis'!$C$12/12)^-('Analysis'!$C$13*12))))</x:f>
        <x:v>324.73275294000484</x:v>
      </x:c>
      <x:c r="H224" s="16" t="n">
        <x:f>IF(B224&gt;='Analysis'!$C$13*12,0,MAX(0,D224-G224))</x:f>
        <x:v>73576.63831615978</x:v>
      </x:c>
    </x:row>
    <x:row r="225" ht="22" customHeight="1">
      <x:c r="A225" s="2"/>
      <x:c r="B225" s="41" t="n">
        <x:f>220</x:f>
        <x:v>220</x:v>
      </x:c>
      <x:c r="C225" s="41" t="n">
        <x:f>ROUNDUP(B225/12,0)</x:f>
        <x:v>19</x:v>
      </x:c>
      <x:c r="D225" s="16" t="n">
        <x:f>H224</x:f>
        <x:v>73576.63831615978</x:v>
      </x:c>
      <x:c r="E225" s="32" t="n">
        <x:f>IF(B225&gt;'Analysis'!$C$13*12,0,'Analysis'!$G$22)</x:f>
        <x:v>786.6163221218766</x:v>
      </x:c>
      <x:c r="F225" s="32" t="n">
        <x:f>MAX(0,E225-G225)</x:f>
        <x:v>459.85398947599674</x:v>
      </x:c>
      <x:c r="G225" s="16" t="n">
        <x:f>IF(OR('Analysis'!$G$21=0,B225&gt;'Analysis'!$C$13*12),0,IF('Analysis'!$C$12=0,'Analysis'!$G$21/('Analysis'!$C$13*12),'Analysis'!$G$21*(1+'Analysis'!$C$12/12)^-('Analysis'!$C$13*12-B225)*(1-(1+'Analysis'!$C$12/12)^-1)/(1-(1+'Analysis'!$C$12/12)^-('Analysis'!$C$13*12))))</x:f>
        <x:v>326.76233264587984</x:v>
      </x:c>
      <x:c r="H225" s="16" t="n">
        <x:f>IF(B225&gt;='Analysis'!$C$13*12,0,MAX(0,D225-G225))</x:f>
        <x:v>73249.87598351389</x:v>
      </x:c>
    </x:row>
    <x:row r="226" ht="22" customHeight="1">
      <x:c r="A226" s="2"/>
      <x:c r="B226" s="41" t="n">
        <x:f>221</x:f>
        <x:v>221</x:v>
      </x:c>
      <x:c r="C226" s="41" t="n">
        <x:f>ROUNDUP(B226/12,0)</x:f>
        <x:v>19</x:v>
      </x:c>
      <x:c r="D226" s="16" t="n">
        <x:f>H225</x:f>
        <x:v>73249.87598351389</x:v>
      </x:c>
      <x:c r="E226" s="32" t="n">
        <x:f>IF(B226&gt;'Analysis'!$C$13*12,0,'Analysis'!$G$22)</x:f>
        <x:v>786.6163221218766</x:v>
      </x:c>
      <x:c r="F226" s="32" t="n">
        <x:f>MAX(0,E226-G226)</x:f>
        <x:v>457.8117248969599</x:v>
      </x:c>
      <x:c r="G226" s="16" t="n">
        <x:f>IF(OR('Analysis'!$G$21=0,B226&gt;'Analysis'!$C$13*12),0,IF('Analysis'!$C$12=0,'Analysis'!$G$21/('Analysis'!$C$13*12),'Analysis'!$G$21*(1+'Analysis'!$C$12/12)^-('Analysis'!$C$13*12-B226)*(1-(1+'Analysis'!$C$12/12)^-1)/(1-(1+'Analysis'!$C$12/12)^-('Analysis'!$C$13*12))))</x:f>
        <x:v>328.8045972249167</x:v>
      </x:c>
      <x:c r="H226" s="16" t="n">
        <x:f>IF(B226&gt;='Analysis'!$C$13*12,0,MAX(0,D226-G226))</x:f>
        <x:v>72921.07138628897</x:v>
      </x:c>
    </x:row>
    <x:row r="227" ht="22" customHeight="1">
      <x:c r="A227" s="2"/>
      <x:c r="B227" s="41" t="n">
        <x:f>222</x:f>
        <x:v>222</x:v>
      </x:c>
      <x:c r="C227" s="41" t="n">
        <x:f>ROUNDUP(B227/12,0)</x:f>
        <x:v>19</x:v>
      </x:c>
      <x:c r="D227" s="16" t="n">
        <x:f>H226</x:f>
        <x:v>72921.07138628897</x:v>
      </x:c>
      <x:c r="E227" s="32" t="n">
        <x:f>IF(B227&gt;'Analysis'!$C$13*12,0,'Analysis'!$G$22)</x:f>
        <x:v>786.6163221218766</x:v>
      </x:c>
      <x:c r="F227" s="32" t="n">
        <x:f>MAX(0,E227-G227)</x:f>
        <x:v>455.7566961643041</x:v>
      </x:c>
      <x:c r="G227" s="16" t="n">
        <x:f>IF(OR('Analysis'!$G$21=0,B227&gt;'Analysis'!$C$13*12),0,IF('Analysis'!$C$12=0,'Analysis'!$G$21/('Analysis'!$C$13*12),'Analysis'!$G$21*(1+'Analysis'!$C$12/12)^-('Analysis'!$C$13*12-B227)*(1-(1+'Analysis'!$C$12/12)^-1)/(1-(1+'Analysis'!$C$12/12)^-('Analysis'!$C$13*12))))</x:f>
        <x:v>330.85962595757246</x:v>
      </x:c>
      <x:c r="H227" s="16" t="n">
        <x:f>IF(B227&gt;='Analysis'!$C$13*12,0,MAX(0,D227-G227))</x:f>
        <x:v>72590.2117603314</x:v>
      </x:c>
    </x:row>
    <x:row r="228" ht="22" customHeight="1">
      <x:c r="A228" s="2"/>
      <x:c r="B228" s="41" t="n">
        <x:f>223</x:f>
        <x:v>223</x:v>
      </x:c>
      <x:c r="C228" s="41" t="n">
        <x:f>ROUNDUP(B228/12,0)</x:f>
        <x:v>19</x:v>
      </x:c>
      <x:c r="D228" s="16" t="n">
        <x:f>H227</x:f>
        <x:v>72590.2117603314</x:v>
      </x:c>
      <x:c r="E228" s="32" t="n">
        <x:f>IF(B228&gt;'Analysis'!$C$13*12,0,'Analysis'!$G$22)</x:f>
        <x:v>786.6163221218766</x:v>
      </x:c>
      <x:c r="F228" s="32" t="n">
        <x:f>MAX(0,E228-G228)</x:f>
        <x:v>453.68882350206934</x:v>
      </x:c>
      <x:c r="G228" s="16" t="n">
        <x:f>IF(OR('Analysis'!$G$21=0,B228&gt;'Analysis'!$C$13*12),0,IF('Analysis'!$C$12=0,'Analysis'!$G$21/('Analysis'!$C$13*12),'Analysis'!$G$21*(1+'Analysis'!$C$12/12)^-('Analysis'!$C$13*12-B228)*(1-(1+'Analysis'!$C$12/12)^-1)/(1-(1+'Analysis'!$C$12/12)^-('Analysis'!$C$13*12))))</x:f>
        <x:v>332.92749861980724</x:v>
      </x:c>
      <x:c r="H228" s="16" t="n">
        <x:f>IF(B228&gt;='Analysis'!$C$13*12,0,MAX(0,D228-G228))</x:f>
        <x:v>72257.28426171158</x:v>
      </x:c>
    </x:row>
    <x:row r="229" ht="22" customHeight="1">
      <x:c r="A229" s="2"/>
      <x:c r="B229" s="41" t="n">
        <x:f>224</x:f>
        <x:v>224</x:v>
      </x:c>
      <x:c r="C229" s="41" t="n">
        <x:f>ROUNDUP(B229/12,0)</x:f>
        <x:v>19</x:v>
      </x:c>
      <x:c r="D229" s="16" t="n">
        <x:f>H228</x:f>
        <x:v>72257.28426171158</x:v>
      </x:c>
      <x:c r="E229" s="32" t="n">
        <x:f>IF(B229&gt;'Analysis'!$C$13*12,0,'Analysis'!$G$22)</x:f>
        <x:v>786.6163221218766</x:v>
      </x:c>
      <x:c r="F229" s="32" t="n">
        <x:f>MAX(0,E229-G229)</x:f>
        <x:v>451.60802663569547</x:v>
      </x:c>
      <x:c r="G229" s="16" t="n">
        <x:f>IF(OR('Analysis'!$G$21=0,B229&gt;'Analysis'!$C$13*12),0,IF('Analysis'!$C$12=0,'Analysis'!$G$21/('Analysis'!$C$13*12),'Analysis'!$G$21*(1+'Analysis'!$C$12/12)^-('Analysis'!$C$13*12-B229)*(1-(1+'Analysis'!$C$12/12)^-1)/(1-(1+'Analysis'!$C$12/12)^-('Analysis'!$C$13*12))))</x:f>
        <x:v>335.0082954861811</x:v>
      </x:c>
      <x:c r="H229" s="16" t="n">
        <x:f>IF(B229&gt;='Analysis'!$C$13*12,0,MAX(0,D229-G229))</x:f>
        <x:v>71922.2759662254</x:v>
      </x:c>
    </x:row>
    <x:row r="230" ht="22" customHeight="1">
      <x:c r="A230" s="2"/>
      <x:c r="B230" s="41" t="n">
        <x:f>225</x:f>
        <x:v>225</x:v>
      </x:c>
      <x:c r="C230" s="41" t="n">
        <x:f>ROUNDUP(B230/12,0)</x:f>
        <x:v>19</x:v>
      </x:c>
      <x:c r="D230" s="16" t="n">
        <x:f>H229</x:f>
        <x:v>71922.2759662254</x:v>
      </x:c>
      <x:c r="E230" s="32" t="n">
        <x:f>IF(B230&gt;'Analysis'!$C$13*12,0,'Analysis'!$G$22)</x:f>
        <x:v>786.6163221218766</x:v>
      </x:c>
      <x:c r="F230" s="32" t="n">
        <x:f>MAX(0,E230-G230)</x:f>
        <x:v>449.51422478890686</x:v>
      </x:c>
      <x:c r="G230" s="16" t="n">
        <x:f>IF(OR('Analysis'!$G$21=0,B230&gt;'Analysis'!$C$13*12),0,IF('Analysis'!$C$12=0,'Analysis'!$G$21/('Analysis'!$C$13*12),'Analysis'!$G$21*(1+'Analysis'!$C$12/12)^-('Analysis'!$C$13*12-B230)*(1-(1+'Analysis'!$C$12/12)^-1)/(1-(1+'Analysis'!$C$12/12)^-('Analysis'!$C$13*12))))</x:f>
        <x:v>337.1020973329697</x:v>
      </x:c>
      <x:c r="H230" s="16" t="n">
        <x:f>IF(B230&gt;='Analysis'!$C$13*12,0,MAX(0,D230-G230))</x:f>
        <x:v>71585.17386889242</x:v>
      </x:c>
    </x:row>
    <x:row r="231" ht="22" customHeight="1">
      <x:c r="A231" s="2"/>
      <x:c r="B231" s="41" t="n">
        <x:f>226</x:f>
        <x:v>226</x:v>
      </x:c>
      <x:c r="C231" s="41" t="n">
        <x:f>ROUNDUP(B231/12,0)</x:f>
        <x:v>19</x:v>
      </x:c>
      <x:c r="D231" s="16" t="n">
        <x:f>H230</x:f>
        <x:v>71585.17386889242</x:v>
      </x:c>
      <x:c r="E231" s="32" t="n">
        <x:f>IF(B231&gt;'Analysis'!$C$13*12,0,'Analysis'!$G$22)</x:f>
        <x:v>786.6163221218766</x:v>
      </x:c>
      <x:c r="F231" s="32" t="n">
        <x:f>MAX(0,E231-G231)</x:f>
        <x:v>447.4073366805757</x:v>
      </x:c>
      <x:c r="G231" s="16" t="n">
        <x:f>IF(OR('Analysis'!$G$21=0,B231&gt;'Analysis'!$C$13*12),0,IF('Analysis'!$C$12=0,'Analysis'!$G$21/('Analysis'!$C$13*12),'Analysis'!$G$21*(1+'Analysis'!$C$12/12)^-('Analysis'!$C$13*12-B231)*(1-(1+'Analysis'!$C$12/12)^-1)/(1-(1+'Analysis'!$C$12/12)^-('Analysis'!$C$13*12))))</x:f>
        <x:v>339.20898544130085</x:v>
      </x:c>
      <x:c r="H231" s="16" t="n">
        <x:f>IF(B231&gt;='Analysis'!$C$13*12,0,MAX(0,D231-G231))</x:f>
        <x:v>71245.96488345112</x:v>
      </x:c>
    </x:row>
    <x:row r="232" ht="22" customHeight="1">
      <x:c r="A232" s="2"/>
      <x:c r="B232" s="41" t="n">
        <x:f>227</x:f>
        <x:v>227</x:v>
      </x:c>
      <x:c r="C232" s="41" t="n">
        <x:f>ROUNDUP(B232/12,0)</x:f>
        <x:v>19</x:v>
      </x:c>
      <x:c r="D232" s="16" t="n">
        <x:f>H231</x:f>
        <x:v>71245.96488345112</x:v>
      </x:c>
      <x:c r="E232" s="32" t="n">
        <x:f>IF(B232&gt;'Analysis'!$C$13*12,0,'Analysis'!$G$22)</x:f>
        <x:v>786.6163221218766</x:v>
      </x:c>
      <x:c r="F232" s="32" t="n">
        <x:f>MAX(0,E232-G232)</x:f>
        <x:v>445.28728052156754</x:v>
      </x:c>
      <x:c r="G232" s="16" t="n">
        <x:f>IF(OR('Analysis'!$G$21=0,B232&gt;'Analysis'!$C$13*12),0,IF('Analysis'!$C$12=0,'Analysis'!$G$21/('Analysis'!$C$13*12),'Analysis'!$G$21*(1+'Analysis'!$C$12/12)^-('Analysis'!$C$13*12-B232)*(1-(1+'Analysis'!$C$12/12)^-1)/(1-(1+'Analysis'!$C$12/12)^-('Analysis'!$C$13*12))))</x:f>
        <x:v>341.32904160030904</x:v>
      </x:c>
      <x:c r="H232" s="16" t="n">
        <x:f>IF(B232&gt;='Analysis'!$C$13*12,0,MAX(0,D232-G232))</x:f>
        <x:v>70904.6358418508</x:v>
      </x:c>
    </x:row>
    <x:row r="233" ht="22" customHeight="1">
      <x:c r="A233" s="2"/>
      <x:c r="B233" s="41" t="n">
        <x:f>228</x:f>
        <x:v>228</x:v>
      </x:c>
      <x:c r="C233" s="41" t="n">
        <x:f>ROUNDUP(B233/12,0)</x:f>
        <x:v>19</x:v>
      </x:c>
      <x:c r="D233" s="16" t="n">
        <x:f>H232</x:f>
        <x:v>70904.6358418508</x:v>
      </x:c>
      <x:c r="E233" s="32" t="n">
        <x:f>IF(B233&gt;'Analysis'!$C$13*12,0,'Analysis'!$G$22)</x:f>
        <x:v>786.6163221218766</x:v>
      </x:c>
      <x:c r="F233" s="32" t="n">
        <x:f>MAX(0,E233-G233)</x:f>
        <x:v>443.1539740115656</x:v>
      </x:c>
      <x:c r="G233" s="16" t="n">
        <x:f>IF(OR('Analysis'!$G$21=0,B233&gt;'Analysis'!$C$13*12),0,IF('Analysis'!$C$12=0,'Analysis'!$G$21/('Analysis'!$C$13*12),'Analysis'!$G$21*(1+'Analysis'!$C$12/12)^-('Analysis'!$C$13*12-B233)*(1-(1+'Analysis'!$C$12/12)^-1)/(1-(1+'Analysis'!$C$12/12)^-('Analysis'!$C$13*12))))</x:f>
        <x:v>343.462348110311</x:v>
      </x:c>
      <x:c r="H233" s="16" t="n">
        <x:f>IF(B233&gt;='Analysis'!$C$13*12,0,MAX(0,D233-G233))</x:f>
        <x:v>70561.1734937405</x:v>
      </x:c>
    </x:row>
    <x:row r="234" ht="22" customHeight="1">
      <x:c r="A234" s="2"/>
      <x:c r="B234" s="41" t="n">
        <x:f>229</x:f>
        <x:v>229</x:v>
      </x:c>
      <x:c r="C234" s="41" t="n">
        <x:f>ROUNDUP(B234/12,0)</x:f>
        <x:v>20</x:v>
      </x:c>
      <x:c r="D234" s="16" t="n">
        <x:f>H233</x:f>
        <x:v>70561.1734937405</x:v>
      </x:c>
      <x:c r="E234" s="32" t="n">
        <x:f>IF(B234&gt;'Analysis'!$C$13*12,0,'Analysis'!$G$22)</x:f>
        <x:v>786.6163221218766</x:v>
      </x:c>
      <x:c r="F234" s="32" t="n">
        <x:f>MAX(0,E234-G234)</x:f>
        <x:v>441.0073343358762</x:v>
      </x:c>
      <x:c r="G234" s="16" t="n">
        <x:f>IF(OR('Analysis'!$G$21=0,B234&gt;'Analysis'!$C$13*12),0,IF('Analysis'!$C$12=0,'Analysis'!$G$21/('Analysis'!$C$13*12),'Analysis'!$G$21*(1+'Analysis'!$C$12/12)^-('Analysis'!$C$13*12-B234)*(1-(1+'Analysis'!$C$12/12)^-1)/(1-(1+'Analysis'!$C$12/12)^-('Analysis'!$C$13*12))))</x:f>
        <x:v>345.6089877860004</x:v>
      </x:c>
      <x:c r="H234" s="16" t="n">
        <x:f>IF(B234&gt;='Analysis'!$C$13*12,0,MAX(0,D234-G234))</x:f>
        <x:v>70215.56450595449</x:v>
      </x:c>
    </x:row>
    <x:row r="235" ht="22" customHeight="1">
      <x:c r="A235" s="2"/>
      <x:c r="B235" s="41" t="n">
        <x:f>230</x:f>
        <x:v>230</x:v>
      </x:c>
      <x:c r="C235" s="41" t="n">
        <x:f>ROUNDUP(B235/12,0)</x:f>
        <x:v>20</x:v>
      </x:c>
      <x:c r="D235" s="16" t="n">
        <x:f>H234</x:f>
        <x:v>70215.56450595449</x:v>
      </x:c>
      <x:c r="E235" s="32" t="n">
        <x:f>IF(B235&gt;'Analysis'!$C$13*12,0,'Analysis'!$G$22)</x:f>
        <x:v>786.6163221218766</x:v>
      </x:c>
      <x:c r="F235" s="32" t="n">
        <x:f>MAX(0,E235-G235)</x:f>
        <x:v>438.8472781622136</x:v>
      </x:c>
      <x:c r="G235" s="16" t="n">
        <x:f>IF(OR('Analysis'!$G$21=0,B235&gt;'Analysis'!$C$13*12),0,IF('Analysis'!$C$12=0,'Analysis'!$G$21/('Analysis'!$C$13*12),'Analysis'!$G$21*(1+'Analysis'!$C$12/12)^-('Analysis'!$C$13*12-B235)*(1-(1+'Analysis'!$C$12/12)^-1)/(1-(1+'Analysis'!$C$12/12)^-('Analysis'!$C$13*12))))</x:f>
        <x:v>347.76904395966295</x:v>
      </x:c>
      <x:c r="H235" s="16" t="n">
        <x:f>IF(B235&gt;='Analysis'!$C$13*12,0,MAX(0,D235-G235))</x:f>
        <x:v>69867.79546199483</x:v>
      </x:c>
    </x:row>
    <x:row r="236" ht="22" customHeight="1">
      <x:c r="A236" s="2"/>
      <x:c r="B236" s="41" t="n">
        <x:f>231</x:f>
        <x:v>231</x:v>
      </x:c>
      <x:c r="C236" s="41" t="n">
        <x:f>ROUNDUP(B236/12,0)</x:f>
        <x:v>20</x:v>
      </x:c>
      <x:c r="D236" s="16" t="n">
        <x:f>H235</x:f>
        <x:v>69867.79546199483</x:v>
      </x:c>
      <x:c r="E236" s="32" t="n">
        <x:f>IF(B236&gt;'Analysis'!$C$13*12,0,'Analysis'!$G$22)</x:f>
        <x:v>786.6163221218766</x:v>
      </x:c>
      <x:c r="F236" s="32" t="n">
        <x:f>MAX(0,E236-G236)</x:f>
        <x:v>436.6737216374657</x:v>
      </x:c>
      <x:c r="G236" s="16" t="n">
        <x:f>IF(OR('Analysis'!$G$21=0,B236&gt;'Analysis'!$C$13*12),0,IF('Analysis'!$C$12=0,'Analysis'!$G$21/('Analysis'!$C$13*12),'Analysis'!$G$21*(1+'Analysis'!$C$12/12)^-('Analysis'!$C$13*12-B236)*(1-(1+'Analysis'!$C$12/12)^-1)/(1-(1+'Analysis'!$C$12/12)^-('Analysis'!$C$13*12))))</x:f>
        <x:v>349.9426004844109</x:v>
      </x:c>
      <x:c r="H236" s="16" t="n">
        <x:f>IF(B236&gt;='Analysis'!$C$13*12,0,MAX(0,D236-G236))</x:f>
        <x:v>69517.85286151042</x:v>
      </x:c>
    </x:row>
    <x:row r="237" ht="22" customHeight="1">
      <x:c r="A237" s="2"/>
      <x:c r="B237" s="41" t="n">
        <x:f>232</x:f>
        <x:v>232</x:v>
      </x:c>
      <x:c r="C237" s="41" t="n">
        <x:f>ROUNDUP(B237/12,0)</x:f>
        <x:v>20</x:v>
      </x:c>
      <x:c r="D237" s="16" t="n">
        <x:f>H236</x:f>
        <x:v>69517.85286151042</x:v>
      </x:c>
      <x:c r="E237" s="32" t="n">
        <x:f>IF(B237&gt;'Analysis'!$C$13*12,0,'Analysis'!$G$22)</x:f>
        <x:v>786.6163221218766</x:v>
      </x:c>
      <x:c r="F237" s="32" t="n">
        <x:f>MAX(0,E237-G237)</x:f>
        <x:v>434.48658038443807</x:v>
      </x:c>
      <x:c r="G237" s="16" t="n">
        <x:f>IF(OR('Analysis'!$G$21=0,B237&gt;'Analysis'!$C$13*12),0,IF('Analysis'!$C$12=0,'Analysis'!$G$21/('Analysis'!$C$13*12),'Analysis'!$G$21*(1+'Analysis'!$C$12/12)^-('Analysis'!$C$13*12-B237)*(1-(1+'Analysis'!$C$12/12)^-1)/(1-(1+'Analysis'!$C$12/12)^-('Analysis'!$C$13*12))))</x:f>
        <x:v>352.1297417374385</x:v>
      </x:c>
      <x:c r="H237" s="16" t="n">
        <x:f>IF(B237&gt;='Analysis'!$C$13*12,0,MAX(0,D237-G237))</x:f>
        <x:v>69165.72311977297</x:v>
      </x:c>
    </x:row>
    <x:row r="238" ht="22" customHeight="1">
      <x:c r="A238" s="2"/>
      <x:c r="B238" s="41" t="n">
        <x:f>233</x:f>
        <x:v>233</x:v>
      </x:c>
      <x:c r="C238" s="41" t="n">
        <x:f>ROUNDUP(B238/12,0)</x:f>
        <x:v>20</x:v>
      </x:c>
      <x:c r="D238" s="16" t="n">
        <x:f>H237</x:f>
        <x:v>69165.72311977297</x:v>
      </x:c>
      <x:c r="E238" s="32" t="n">
        <x:f>IF(B238&gt;'Analysis'!$C$13*12,0,'Analysis'!$G$22)</x:f>
        <x:v>786.6163221218766</x:v>
      </x:c>
      <x:c r="F238" s="32" t="n">
        <x:f>MAX(0,E238-G238)</x:f>
        <x:v>432.2857694985791</x:v>
      </x:c>
      <x:c r="G238" s="16" t="n">
        <x:f>IF(OR('Analysis'!$G$21=0,B238&gt;'Analysis'!$C$13*12),0,IF('Analysis'!$C$12=0,'Analysis'!$G$21/('Analysis'!$C$13*12),'Analysis'!$G$21*(1+'Analysis'!$C$12/12)^-('Analysis'!$C$13*12-B238)*(1-(1+'Analysis'!$C$12/12)^-1)/(1-(1+'Analysis'!$C$12/12)^-('Analysis'!$C$13*12))))</x:f>
        <x:v>354.3305526232975</x:v>
      </x:c>
      <x:c r="H238" s="16" t="n">
        <x:f>IF(B238&gt;='Analysis'!$C$13*12,0,MAX(0,D238-G238))</x:f>
        <x:v>68811.39256714967</x:v>
      </x:c>
    </x:row>
    <x:row r="239" ht="22" customHeight="1">
      <x:c r="A239" s="2"/>
      <x:c r="B239" s="41" t="n">
        <x:f>234</x:f>
        <x:v>234</x:v>
      </x:c>
      <x:c r="C239" s="41" t="n">
        <x:f>ROUNDUP(B239/12,0)</x:f>
        <x:v>20</x:v>
      </x:c>
      <x:c r="D239" s="16" t="n">
        <x:f>H238</x:f>
        <x:v>68811.39256714967</x:v>
      </x:c>
      <x:c r="E239" s="32" t="n">
        <x:f>IF(B239&gt;'Analysis'!$C$13*12,0,'Analysis'!$G$22)</x:f>
        <x:v>786.6163221218766</x:v>
      </x:c>
      <x:c r="F239" s="32" t="n">
        <x:f>MAX(0,E239-G239)</x:f>
        <x:v>430.07120354468344</x:v>
      </x:c>
      <x:c r="G239" s="16" t="n">
        <x:f>IF(OR('Analysis'!$G$21=0,B239&gt;'Analysis'!$C$13*12),0,IF('Analysis'!$C$12=0,'Analysis'!$G$21/('Analysis'!$C$13*12),'Analysis'!$G$21*(1+'Analysis'!$C$12/12)^-('Analysis'!$C$13*12-B239)*(1-(1+'Analysis'!$C$12/12)^-1)/(1-(1+'Analysis'!$C$12/12)^-('Analysis'!$C$13*12))))</x:f>
        <x:v>356.54511857719314</x:v>
      </x:c>
      <x:c r="H239" s="16" t="n">
        <x:f>IF(B239&gt;='Analysis'!$C$13*12,0,MAX(0,D239-G239))</x:f>
        <x:v>68454.84744857247</x:v>
      </x:c>
    </x:row>
    <x:row r="240" ht="22" customHeight="1">
      <x:c r="A240" s="2"/>
      <x:c r="B240" s="41" t="n">
        <x:f>235</x:f>
        <x:v>235</x:v>
      </x:c>
      <x:c r="C240" s="41" t="n">
        <x:f>ROUNDUP(B240/12,0)</x:f>
        <x:v>20</x:v>
      </x:c>
      <x:c r="D240" s="16" t="n">
        <x:f>H239</x:f>
        <x:v>68454.84744857247</x:v>
      </x:c>
      <x:c r="E240" s="32" t="n">
        <x:f>IF(B240&gt;'Analysis'!$C$13*12,0,'Analysis'!$G$22)</x:f>
        <x:v>786.6163221218766</x:v>
      </x:c>
      <x:c r="F240" s="32" t="n">
        <x:f>MAX(0,E240-G240)</x:f>
        <x:v>427.8427965535759</x:v>
      </x:c>
      <x:c r="G240" s="16" t="n">
        <x:f>IF(OR('Analysis'!$G$21=0,B240&gt;'Analysis'!$C$13*12),0,IF('Analysis'!$C$12=0,'Analysis'!$G$21/('Analysis'!$C$13*12),'Analysis'!$G$21*(1+'Analysis'!$C$12/12)^-('Analysis'!$C$13*12-B240)*(1-(1+'Analysis'!$C$12/12)^-1)/(1-(1+'Analysis'!$C$12/12)^-('Analysis'!$C$13*12))))</x:f>
        <x:v>358.77352556830067</x:v>
      </x:c>
      <x:c r="H240" s="16" t="n">
        <x:f>IF(B240&gt;='Analysis'!$C$13*12,0,MAX(0,D240-G240))</x:f>
        <x:v>68096.07392300417</x:v>
      </x:c>
    </x:row>
    <x:row r="241" ht="22" customHeight="1">
      <x:c r="A241" s="2"/>
      <x:c r="B241" s="41" t="n">
        <x:f>236</x:f>
        <x:v>236</x:v>
      </x:c>
      <x:c r="C241" s="41" t="n">
        <x:f>ROUNDUP(B241/12,0)</x:f>
        <x:v>20</x:v>
      </x:c>
      <x:c r="D241" s="16" t="n">
        <x:f>H240</x:f>
        <x:v>68096.07392300417</x:v>
      </x:c>
      <x:c r="E241" s="32" t="n">
        <x:f>IF(B241&gt;'Analysis'!$C$13*12,0,'Analysis'!$G$22)</x:f>
        <x:v>786.6163221218766</x:v>
      </x:c>
      <x:c r="F241" s="32" t="n">
        <x:f>MAX(0,E241-G241)</x:f>
        <x:v>425.600462018774</x:v>
      </x:c>
      <x:c r="G241" s="16" t="n">
        <x:f>IF(OR('Analysis'!$G$21=0,B241&gt;'Analysis'!$C$13*12),0,IF('Analysis'!$C$12=0,'Analysis'!$G$21/('Analysis'!$C$13*12),'Analysis'!$G$21*(1+'Analysis'!$C$12/12)^-('Analysis'!$C$13*12-B241)*(1-(1+'Analysis'!$C$12/12)^-1)/(1-(1+'Analysis'!$C$12/12)^-('Analysis'!$C$13*12))))</x:f>
        <x:v>361.01586010310257</x:v>
      </x:c>
      <x:c r="H241" s="16" t="n">
        <x:f>IF(B241&gt;='Analysis'!$C$13*12,0,MAX(0,D241-G241))</x:f>
        <x:v>67735.05806290107</x:v>
      </x:c>
    </x:row>
    <x:row r="242" ht="22" customHeight="1">
      <x:c r="A242" s="2"/>
      <x:c r="B242" s="41" t="n">
        <x:f>237</x:f>
        <x:v>237</x:v>
      </x:c>
      <x:c r="C242" s="41" t="n">
        <x:f>ROUNDUP(B242/12,0)</x:f>
        <x:v>20</x:v>
      </x:c>
      <x:c r="D242" s="16" t="n">
        <x:f>H241</x:f>
        <x:v>67735.05806290107</x:v>
      </x:c>
      <x:c r="E242" s="32" t="n">
        <x:f>IF(B242&gt;'Analysis'!$C$13*12,0,'Analysis'!$G$22)</x:f>
        <x:v>786.6163221218766</x:v>
      </x:c>
      <x:c r="F242" s="32" t="n">
        <x:f>MAX(0,E242-G242)</x:f>
        <x:v>423.3441128931296</x:v>
      </x:c>
      <x:c r="G242" s="16" t="n">
        <x:f>IF(OR('Analysis'!$G$21=0,B242&gt;'Analysis'!$C$13*12),0,IF('Analysis'!$C$12=0,'Analysis'!$G$21/('Analysis'!$C$13*12),'Analysis'!$G$21*(1+'Analysis'!$C$12/12)^-('Analysis'!$C$13*12-B242)*(1-(1+'Analysis'!$C$12/12)^-1)/(1-(1+'Analysis'!$C$12/12)^-('Analysis'!$C$13*12))))</x:f>
        <x:v>363.272209228747</x:v>
      </x:c>
      <x:c r="H242" s="16" t="n">
        <x:f>IF(B242&gt;='Analysis'!$C$13*12,0,MAX(0,D242-G242))</x:f>
        <x:v>67371.78585367232</x:v>
      </x:c>
    </x:row>
    <x:row r="243" ht="22" customHeight="1">
      <x:c r="A243" s="2"/>
      <x:c r="B243" s="41" t="n">
        <x:f>238</x:f>
        <x:v>238</x:v>
      </x:c>
      <x:c r="C243" s="41" t="n">
        <x:f>ROUNDUP(B243/12,0)</x:f>
        <x:v>20</x:v>
      </x:c>
      <x:c r="D243" s="16" t="n">
        <x:f>H242</x:f>
        <x:v>67371.78585367232</x:v>
      </x:c>
      <x:c r="E243" s="32" t="n">
        <x:f>IF(B243&gt;'Analysis'!$C$13*12,0,'Analysis'!$G$22)</x:f>
        <x:v>786.6163221218766</x:v>
      </x:c>
      <x:c r="F243" s="32" t="n">
        <x:f>MAX(0,E243-G243)</x:f>
        <x:v>421.0736615854499</x:v>
      </x:c>
      <x:c r="G243" s="16" t="n">
        <x:f>IF(OR('Analysis'!$G$21=0,B243&gt;'Analysis'!$C$13*12),0,IF('Analysis'!$C$12=0,'Analysis'!$G$21/('Analysis'!$C$13*12),'Analysis'!$G$21*(1+'Analysis'!$C$12/12)^-('Analysis'!$C$13*12-B243)*(1-(1+'Analysis'!$C$12/12)^-1)/(1-(1+'Analysis'!$C$12/12)^-('Analysis'!$C$13*12))))</x:f>
        <x:v>365.5426605364267</x:v>
      </x:c>
      <x:c r="H243" s="16" t="n">
        <x:f>IF(B243&gt;='Analysis'!$C$13*12,0,MAX(0,D243-G243))</x:f>
        <x:v>67006.24319313589</x:v>
      </x:c>
    </x:row>
    <x:row r="244" ht="22" customHeight="1">
      <x:c r="A244" s="2"/>
      <x:c r="B244" s="41" t="n">
        <x:f>239</x:f>
        <x:v>239</x:v>
      </x:c>
      <x:c r="C244" s="41" t="n">
        <x:f>ROUNDUP(B244/12,0)</x:f>
        <x:v>20</x:v>
      </x:c>
      <x:c r="D244" s="16" t="n">
        <x:f>H243</x:f>
        <x:v>67006.24319313589</x:v>
      </x:c>
      <x:c r="E244" s="32" t="n">
        <x:f>IF(B244&gt;'Analysis'!$C$13*12,0,'Analysis'!$G$22)</x:f>
        <x:v>786.6163221218766</x:v>
      </x:c>
      <x:c r="F244" s="32" t="n">
        <x:f>MAX(0,E244-G244)</x:f>
        <x:v>418.7890199570972</x:v>
      </x:c>
      <x:c r="G244" s="16" t="n">
        <x:f>IF(OR('Analysis'!$G$21=0,B244&gt;'Analysis'!$C$13*12),0,IF('Analysis'!$C$12=0,'Analysis'!$G$21/('Analysis'!$C$13*12),'Analysis'!$G$21*(1+'Analysis'!$C$12/12)^-('Analysis'!$C$13*12-B244)*(1-(1+'Analysis'!$C$12/12)^-1)/(1-(1+'Analysis'!$C$12/12)^-('Analysis'!$C$13*12))))</x:f>
        <x:v>367.8273021647794</x:v>
      </x:c>
      <x:c r="H244" s="16" t="n">
        <x:f>IF(B244&gt;='Analysis'!$C$13*12,0,MAX(0,D244-G244))</x:f>
        <x:v>66638.41589097111</x:v>
      </x:c>
    </x:row>
    <x:row r="245" ht="22" customHeight="1">
      <x:c r="A245" s="2"/>
      <x:c r="B245" s="41" t="n">
        <x:f>240</x:f>
        <x:v>240</x:v>
      </x:c>
      <x:c r="C245" s="41" t="n">
        <x:f>ROUNDUP(B245/12,0)</x:f>
        <x:v>20</x:v>
      </x:c>
      <x:c r="D245" s="16" t="n">
        <x:f>H244</x:f>
        <x:v>66638.41589097111</x:v>
      </x:c>
      <x:c r="E245" s="32" t="n">
        <x:f>IF(B245&gt;'Analysis'!$C$13*12,0,'Analysis'!$G$22)</x:f>
        <x:v>786.6163221218766</x:v>
      </x:c>
      <x:c r="F245" s="32" t="n">
        <x:f>MAX(0,E245-G245)</x:f>
        <x:v>416.4900993185673</x:v>
      </x:c>
      <x:c r="G245" s="16" t="n">
        <x:f>IF(OR('Analysis'!$G$21=0,B245&gt;'Analysis'!$C$13*12),0,IF('Analysis'!$C$12=0,'Analysis'!$G$21/('Analysis'!$C$13*12),'Analysis'!$G$21*(1+'Analysis'!$C$12/12)^-('Analysis'!$C$13*12-B245)*(1-(1+'Analysis'!$C$12/12)^-1)/(1-(1+'Analysis'!$C$12/12)^-('Analysis'!$C$13*12))))</x:f>
        <x:v>370.1262228033093</x:v>
      </x:c>
      <x:c r="H245" s="16" t="n">
        <x:f>IF(B245&gt;='Analysis'!$C$13*12,0,MAX(0,D245-G245))</x:f>
        <x:v>66268.2896681678</x:v>
      </x:c>
    </x:row>
    <x:row r="246" ht="22" customHeight="1">
      <x:c r="A246" s="2"/>
      <x:c r="B246" s="41" t="n">
        <x:f>241</x:f>
        <x:v>241</x:v>
      </x:c>
      <x:c r="C246" s="41" t="n">
        <x:f>ROUNDUP(B246/12,0)</x:f>
        <x:v>21</x:v>
      </x:c>
      <x:c r="D246" s="16" t="n">
        <x:f>H245</x:f>
        <x:v>66268.2896681678</x:v>
      </x:c>
      <x:c r="E246" s="32" t="n">
        <x:f>IF(B246&gt;'Analysis'!$C$13*12,0,'Analysis'!$G$22)</x:f>
        <x:v>786.6163221218766</x:v>
      </x:c>
      <x:c r="F246" s="32" t="n">
        <x:f>MAX(0,E246-G246)</x:f>
        <x:v>414.17681042604653</x:v>
      </x:c>
      <x:c r="G246" s="16" t="n">
        <x:f>IF(OR('Analysis'!$G$21=0,B246&gt;'Analysis'!$C$13*12),0,IF('Analysis'!$C$12=0,'Analysis'!$G$21/('Analysis'!$C$13*12),'Analysis'!$G$21*(1+'Analysis'!$C$12/12)^-('Analysis'!$C$13*12-B246)*(1-(1+'Analysis'!$C$12/12)^-1)/(1-(1+'Analysis'!$C$12/12)^-('Analysis'!$C$13*12))))</x:f>
        <x:v>372.43951169583005</x:v>
      </x:c>
      <x:c r="H246" s="16" t="n">
        <x:f>IF(B246&gt;='Analysis'!$C$13*12,0,MAX(0,D246-G246))</x:f>
        <x:v>65895.85015647196</x:v>
      </x:c>
    </x:row>
    <x:row r="247" ht="22" customHeight="1">
      <x:c r="A247" s="2"/>
      <x:c r="B247" s="41" t="n">
        <x:f>242</x:f>
        <x:v>242</x:v>
      </x:c>
      <x:c r="C247" s="41" t="n">
        <x:f>ROUNDUP(B247/12,0)</x:f>
        <x:v>21</x:v>
      </x:c>
      <x:c r="D247" s="16" t="n">
        <x:f>H246</x:f>
        <x:v>65895.85015647196</x:v>
      </x:c>
      <x:c r="E247" s="32" t="n">
        <x:f>IF(B247&gt;'Analysis'!$C$13*12,0,'Analysis'!$G$22)</x:f>
        <x:v>786.6163221218766</x:v>
      </x:c>
      <x:c r="F247" s="32" t="n">
        <x:f>MAX(0,E247-G247)</x:f>
        <x:v>411.8490634779476</x:v>
      </x:c>
      <x:c r="G247" s="16" t="n">
        <x:f>IF(OR('Analysis'!$G$21=0,B247&gt;'Analysis'!$C$13*12),0,IF('Analysis'!$C$12=0,'Analysis'!$G$21/('Analysis'!$C$13*12),'Analysis'!$G$21*(1+'Analysis'!$C$12/12)^-('Analysis'!$C$13*12-B247)*(1-(1+'Analysis'!$C$12/12)^-1)/(1-(1+'Analysis'!$C$12/12)^-('Analysis'!$C$13*12))))</x:f>
        <x:v>374.767258643929</x:v>
      </x:c>
      <x:c r="H247" s="16" t="n">
        <x:f>IF(B247&gt;='Analysis'!$C$13*12,0,MAX(0,D247-G247))</x:f>
        <x:v>65521.08289782803</x:v>
      </x:c>
    </x:row>
    <x:row r="248" ht="22" customHeight="1">
      <x:c r="A248" s="2"/>
      <x:c r="B248" s="41" t="n">
        <x:f>243</x:f>
        <x:v>243</x:v>
      </x:c>
      <x:c r="C248" s="41" t="n">
        <x:f>ROUNDUP(B248/12,0)</x:f>
        <x:v>21</x:v>
      </x:c>
      <x:c r="D248" s="16" t="n">
        <x:f>H247</x:f>
        <x:v>65521.08289782803</x:v>
      </x:c>
      <x:c r="E248" s="32" t="n">
        <x:f>IF(B248&gt;'Analysis'!$C$13*12,0,'Analysis'!$G$22)</x:f>
        <x:v>786.6163221218766</x:v>
      </x:c>
      <x:c r="F248" s="32" t="n">
        <x:f>MAX(0,E248-G248)</x:f>
        <x:v>409.50676811142307</x:v>
      </x:c>
      <x:c r="G248" s="16" t="n">
        <x:f>IF(OR('Analysis'!$G$21=0,B248&gt;'Analysis'!$C$13*12),0,IF('Analysis'!$C$12=0,'Analysis'!$G$21/('Analysis'!$C$13*12),'Analysis'!$G$21*(1+'Analysis'!$C$12/12)^-('Analysis'!$C$13*12-B248)*(1-(1+'Analysis'!$C$12/12)^-1)/(1-(1+'Analysis'!$C$12/12)^-('Analysis'!$C$13*12))))</x:f>
        <x:v>377.1095540104535</x:v>
      </x:c>
      <x:c r="H248" s="16" t="n">
        <x:f>IF(B248&gt;='Analysis'!$C$13*12,0,MAX(0,D248-G248))</x:f>
        <x:v>65143.97334381758</x:v>
      </x:c>
    </x:row>
    <x:row r="249" ht="22" customHeight="1">
      <x:c r="A249" s="2"/>
      <x:c r="B249" s="41" t="n">
        <x:f>244</x:f>
        <x:v>244</x:v>
      </x:c>
      <x:c r="C249" s="41" t="n">
        <x:f>ROUNDUP(B249/12,0)</x:f>
        <x:v>21</x:v>
      </x:c>
      <x:c r="D249" s="16" t="n">
        <x:f>H248</x:f>
        <x:v>65143.97334381758</x:v>
      </x:c>
      <x:c r="E249" s="32" t="n">
        <x:f>IF(B249&gt;'Analysis'!$C$13*12,0,'Analysis'!$G$22)</x:f>
        <x:v>786.6163221218766</x:v>
      </x:c>
      <x:c r="F249" s="32" t="n">
        <x:f>MAX(0,E249-G249)</x:f>
        <x:v>407.1498333988577</x:v>
      </x:c>
      <x:c r="G249" s="16" t="n">
        <x:f>IF(OR('Analysis'!$G$21=0,B249&gt;'Analysis'!$C$13*12),0,IF('Analysis'!$C$12=0,'Analysis'!$G$21/('Analysis'!$C$13*12),'Analysis'!$G$21*(1+'Analysis'!$C$12/12)^-('Analysis'!$C$13*12-B249)*(1-(1+'Analysis'!$C$12/12)^-1)/(1-(1+'Analysis'!$C$12/12)^-('Analysis'!$C$13*12))))</x:f>
        <x:v>379.46648872301887</x:v>
      </x:c>
      <x:c r="H249" s="16" t="n">
        <x:f>IF(B249&gt;='Analysis'!$C$13*12,0,MAX(0,D249-G249))</x:f>
        <x:v>64764.506855094565</x:v>
      </x:c>
    </x:row>
    <x:row r="250" ht="22" customHeight="1">
      <x:c r="A250" s="2"/>
      <x:c r="B250" s="41" t="n">
        <x:f>245</x:f>
        <x:v>245</x:v>
      </x:c>
      <x:c r="C250" s="41" t="n">
        <x:f>ROUNDUP(B250/12,0)</x:f>
        <x:v>21</x:v>
      </x:c>
      <x:c r="D250" s="16" t="n">
        <x:f>H249</x:f>
        <x:v>64764.506855094565</x:v>
      </x:c>
      <x:c r="E250" s="32" t="n">
        <x:f>IF(B250&gt;'Analysis'!$C$13*12,0,'Analysis'!$G$22)</x:f>
        <x:v>786.6163221218766</x:v>
      </x:c>
      <x:c r="F250" s="32" t="n">
        <x:f>MAX(0,E250-G250)</x:f>
        <x:v>404.7781678443388</x:v>
      </x:c>
      <x:c r="G250" s="16" t="n">
        <x:f>IF(OR('Analysis'!$G$21=0,B250&gt;'Analysis'!$C$13*12),0,IF('Analysis'!$C$12=0,'Analysis'!$G$21/('Analysis'!$C$13*12),'Analysis'!$G$21*(1+'Analysis'!$C$12/12)^-('Analysis'!$C$13*12-B250)*(1-(1+'Analysis'!$C$12/12)^-1)/(1-(1+'Analysis'!$C$12/12)^-('Analysis'!$C$13*12))))</x:f>
        <x:v>381.8381542775378</x:v>
      </x:c>
      <x:c r="H250" s="16" t="n">
        <x:f>IF(B250&gt;='Analysis'!$C$13*12,0,MAX(0,D250-G250))</x:f>
        <x:v>64382.66870081703</x:v>
      </x:c>
    </x:row>
    <x:row r="251" ht="22" customHeight="1">
      <x:c r="A251" s="2"/>
      <x:c r="B251" s="41" t="n">
        <x:f>246</x:f>
        <x:v>246</x:v>
      </x:c>
      <x:c r="C251" s="41" t="n">
        <x:f>ROUNDUP(B251/12,0)</x:f>
        <x:v>21</x:v>
      </x:c>
      <x:c r="D251" s="16" t="n">
        <x:f>H250</x:f>
        <x:v>64382.66870081703</x:v>
      </x:c>
      <x:c r="E251" s="32" t="n">
        <x:f>IF(B251&gt;'Analysis'!$C$13*12,0,'Analysis'!$G$22)</x:f>
        <x:v>786.6163221218766</x:v>
      </x:c>
      <x:c r="F251" s="32" t="n">
        <x:f>MAX(0,E251-G251)</x:f>
        <x:v>402.3916793801041</x:v>
      </x:c>
      <x:c r="G251" s="16" t="n">
        <x:f>IF(OR('Analysis'!$G$21=0,B251&gt;'Analysis'!$C$13*12),0,IF('Analysis'!$C$12=0,'Analysis'!$G$21/('Analysis'!$C$13*12),'Analysis'!$G$21*(1+'Analysis'!$C$12/12)^-('Analysis'!$C$13*12-B251)*(1-(1+'Analysis'!$C$12/12)^-1)/(1-(1+'Analysis'!$C$12/12)^-('Analysis'!$C$13*12))))</x:f>
        <x:v>384.22464274177247</x:v>
      </x:c>
      <x:c r="H251" s="16" t="n">
        <x:f>IF(B251&gt;='Analysis'!$C$13*12,0,MAX(0,D251-G251))</x:f>
        <x:v>63998.444058075256</x:v>
      </x:c>
    </x:row>
    <x:row r="252" ht="22" customHeight="1">
      <x:c r="A252" s="2"/>
      <x:c r="B252" s="41" t="n">
        <x:f>247</x:f>
        <x:v>247</x:v>
      </x:c>
      <x:c r="C252" s="41" t="n">
        <x:f>ROUNDUP(B252/12,0)</x:f>
        <x:v>21</x:v>
      </x:c>
      <x:c r="D252" s="16" t="n">
        <x:f>H251</x:f>
        <x:v>63998.444058075256</x:v>
      </x:c>
      <x:c r="E252" s="32" t="n">
        <x:f>IF(B252&gt;'Analysis'!$C$13*12,0,'Analysis'!$G$22)</x:f>
        <x:v>786.6163221218766</x:v>
      </x:c>
      <x:c r="F252" s="32" t="n">
        <x:f>MAX(0,E252-G252)</x:f>
        <x:v>399.990275362968</x:v>
      </x:c>
      <x:c r="G252" s="16" t="n">
        <x:f>IF(OR('Analysis'!$G$21=0,B252&gt;'Analysis'!$C$13*12),0,IF('Analysis'!$C$12=0,'Analysis'!$G$21/('Analysis'!$C$13*12),'Analysis'!$G$21*(1+'Analysis'!$C$12/12)^-('Analysis'!$C$13*12-B252)*(1-(1+'Analysis'!$C$12/12)^-1)/(1-(1+'Analysis'!$C$12/12)^-('Analysis'!$C$13*12))))</x:f>
        <x:v>386.62604675890856</x:v>
      </x:c>
      <x:c r="H252" s="16" t="n">
        <x:f>IF(B252&gt;='Analysis'!$C$13*12,0,MAX(0,D252-G252))</x:f>
        <x:v>63611.81801131635</x:v>
      </x:c>
    </x:row>
    <x:row r="253" ht="22" customHeight="1">
      <x:c r="A253" s="2"/>
      <x:c r="B253" s="41" t="n">
        <x:f>248</x:f>
        <x:v>248</x:v>
      </x:c>
      <x:c r="C253" s="41" t="n">
        <x:f>ROUNDUP(B253/12,0)</x:f>
        <x:v>21</x:v>
      </x:c>
      <x:c r="D253" s="16" t="n">
        <x:f>H252</x:f>
        <x:v>63611.81801131635</x:v>
      </x:c>
      <x:c r="E253" s="32" t="n">
        <x:f>IF(B253&gt;'Analysis'!$C$13*12,0,'Analysis'!$G$22)</x:f>
        <x:v>786.6163221218766</x:v>
      </x:c>
      <x:c r="F253" s="32" t="n">
        <x:f>MAX(0,E253-G253)</x:f>
        <x:v>397.57386257072477</x:v>
      </x:c>
      <x:c r="G253" s="16" t="n">
        <x:f>IF(OR('Analysis'!$G$21=0,B253&gt;'Analysis'!$C$13*12),0,IF('Analysis'!$C$12=0,'Analysis'!$G$21/('Analysis'!$C$13*12),'Analysis'!$G$21*(1+'Analysis'!$C$12/12)^-('Analysis'!$C$13*12-B253)*(1-(1+'Analysis'!$C$12/12)^-1)/(1-(1+'Analysis'!$C$12/12)^-('Analysis'!$C$13*12))))</x:f>
        <x:v>389.0424595511518</x:v>
      </x:c>
      <x:c r="H253" s="16" t="n">
        <x:f>IF(B253&gt;='Analysis'!$C$13*12,0,MAX(0,D253-G253))</x:f>
        <x:v>63222.7755517652</x:v>
      </x:c>
    </x:row>
    <x:row r="254" ht="22" customHeight="1">
      <x:c r="A254" s="2"/>
      <x:c r="B254" s="41" t="n">
        <x:f>249</x:f>
        <x:v>249</x:v>
      </x:c>
      <x:c r="C254" s="41" t="n">
        <x:f>ROUNDUP(B254/12,0)</x:f>
        <x:v>21</x:v>
      </x:c>
      <x:c r="D254" s="16" t="n">
        <x:f>H253</x:f>
        <x:v>63222.7755517652</x:v>
      </x:c>
      <x:c r="E254" s="32" t="n">
        <x:f>IF(B254&gt;'Analysis'!$C$13*12,0,'Analysis'!$G$22)</x:f>
        <x:v>786.6163221218766</x:v>
      </x:c>
      <x:c r="F254" s="32" t="n">
        <x:f>MAX(0,E254-G254)</x:f>
        <x:v>395.1423471985301</x:v>
      </x:c>
      <x:c r="G254" s="16" t="n">
        <x:f>IF(OR('Analysis'!$G$21=0,B254&gt;'Analysis'!$C$13*12),0,IF('Analysis'!$C$12=0,'Analysis'!$G$21/('Analysis'!$C$13*12),'Analysis'!$G$21*(1+'Analysis'!$C$12/12)^-('Analysis'!$C$13*12-B254)*(1-(1+'Analysis'!$C$12/12)^-1)/(1-(1+'Analysis'!$C$12/12)^-('Analysis'!$C$13*12))))</x:f>
        <x:v>391.4739749233465</x:v>
      </x:c>
      <x:c r="H254" s="16" t="n">
        <x:f>IF(B254&gt;='Analysis'!$C$13*12,0,MAX(0,D254-G254))</x:f>
        <x:v>62831.30157684185</x:v>
      </x:c>
    </x:row>
    <x:row r="255" ht="22" customHeight="1">
      <x:c r="A255" s="2"/>
      <x:c r="B255" s="41" t="n">
        <x:f>250</x:f>
        <x:v>250</x:v>
      </x:c>
      <x:c r="C255" s="41" t="n">
        <x:f>ROUNDUP(B255/12,0)</x:f>
        <x:v>21</x:v>
      </x:c>
      <x:c r="D255" s="16" t="n">
        <x:f>H254</x:f>
        <x:v>62831.30157684185</x:v>
      </x:c>
      <x:c r="E255" s="32" t="n">
        <x:f>IF(B255&gt;'Analysis'!$C$13*12,0,'Analysis'!$G$22)</x:f>
        <x:v>786.6163221218766</x:v>
      </x:c>
      <x:c r="F255" s="32" t="n">
        <x:f>MAX(0,E255-G255)</x:f>
        <x:v>392.69563485525913</x:v>
      </x:c>
      <x:c r="G255" s="16" t="n">
        <x:f>IF(OR('Analysis'!$G$21=0,B255&gt;'Analysis'!$C$13*12),0,IF('Analysis'!$C$12=0,'Analysis'!$G$21/('Analysis'!$C$13*12),'Analysis'!$G$21*(1+'Analysis'!$C$12/12)^-('Analysis'!$C$13*12-B255)*(1-(1+'Analysis'!$C$12/12)^-1)/(1-(1+'Analysis'!$C$12/12)^-('Analysis'!$C$13*12))))</x:f>
        <x:v>393.92068726661745</x:v>
      </x:c>
      <x:c r="H255" s="16" t="n">
        <x:f>IF(B255&gt;='Analysis'!$C$13*12,0,MAX(0,D255-G255))</x:f>
        <x:v>62437.38088957523</x:v>
      </x:c>
    </x:row>
    <x:row r="256" ht="22" customHeight="1">
      <x:c r="A256" s="2"/>
      <x:c r="B256" s="41" t="n">
        <x:f>251</x:f>
        <x:v>251</x:v>
      </x:c>
      <x:c r="C256" s="41" t="n">
        <x:f>ROUNDUP(B256/12,0)</x:f>
        <x:v>21</x:v>
      </x:c>
      <x:c r="D256" s="16" t="n">
        <x:f>H255</x:f>
        <x:v>62437.38088957523</x:v>
      </x:c>
      <x:c r="E256" s="32" t="n">
        <x:f>IF(B256&gt;'Analysis'!$C$13*12,0,'Analysis'!$G$22)</x:f>
        <x:v>786.6163221218766</x:v>
      </x:c>
      <x:c r="F256" s="32" t="n">
        <x:f>MAX(0,E256-G256)</x:f>
        <x:v>390.2336305598427</x:v>
      </x:c>
      <x:c r="G256" s="16" t="n">
        <x:f>IF(OR('Analysis'!$G$21=0,B256&gt;'Analysis'!$C$13*12),0,IF('Analysis'!$C$12=0,'Analysis'!$G$21/('Analysis'!$C$13*12),'Analysis'!$G$21*(1+'Analysis'!$C$12/12)^-('Analysis'!$C$13*12-B256)*(1-(1+'Analysis'!$C$12/12)^-1)/(1-(1+'Analysis'!$C$12/12)^-('Analysis'!$C$13*12))))</x:f>
        <x:v>396.38269156203387</x:v>
      </x:c>
      <x:c r="H256" s="16" t="n">
        <x:f>IF(B256&gt;='Analysis'!$C$13*12,0,MAX(0,D256-G256))</x:f>
        <x:v>62040.9981980132</x:v>
      </x:c>
    </x:row>
    <x:row r="257" ht="22" customHeight="1">
      <x:c r="A257" s="2"/>
      <x:c r="B257" s="41" t="n">
        <x:f>252</x:f>
        <x:v>252</x:v>
      </x:c>
      <x:c r="C257" s="41" t="n">
        <x:f>ROUNDUP(B257/12,0)</x:f>
        <x:v>21</x:v>
      </x:c>
      <x:c r="D257" s="16" t="n">
        <x:f>H256</x:f>
        <x:v>62040.9981980132</x:v>
      </x:c>
      <x:c r="E257" s="32" t="n">
        <x:f>IF(B257&gt;'Analysis'!$C$13*12,0,'Analysis'!$G$22)</x:f>
        <x:v>786.6163221218766</x:v>
      </x:c>
      <x:c r="F257" s="32" t="n">
        <x:f>MAX(0,E257-G257)</x:f>
        <x:v>387.7562387375799</x:v>
      </x:c>
      <x:c r="G257" s="16" t="n">
        <x:f>IF(OR('Analysis'!$G$21=0,B257&gt;'Analysis'!$C$13*12),0,IF('Analysis'!$C$12=0,'Analysis'!$G$21/('Analysis'!$C$13*12),'Analysis'!$G$21*(1+'Analysis'!$C$12/12)^-('Analysis'!$C$13*12-B257)*(1-(1+'Analysis'!$C$12/12)^-1)/(1-(1+'Analysis'!$C$12/12)^-('Analysis'!$C$13*12))))</x:f>
        <x:v>398.8600833842967</x:v>
      </x:c>
      <x:c r="H257" s="16" t="n">
        <x:f>IF(B257&gt;='Analysis'!$C$13*12,0,MAX(0,D257-G257))</x:f>
        <x:v>61642.138114628906</x:v>
      </x:c>
    </x:row>
    <x:row r="258" ht="22" customHeight="1">
      <x:c r="A258" s="2"/>
      <x:c r="B258" s="41" t="n">
        <x:f>253</x:f>
        <x:v>253</x:v>
      </x:c>
      <x:c r="C258" s="41" t="n">
        <x:f>ROUNDUP(B258/12,0)</x:f>
        <x:v>22</x:v>
      </x:c>
      <x:c r="D258" s="16" t="n">
        <x:f>H257</x:f>
        <x:v>61642.138114628906</x:v>
      </x:c>
      <x:c r="E258" s="32" t="n">
        <x:f>IF(B258&gt;'Analysis'!$C$13*12,0,'Analysis'!$G$22)</x:f>
        <x:v>786.6163221218766</x:v>
      </x:c>
      <x:c r="F258" s="32" t="n">
        <x:f>MAX(0,E258-G258)</x:f>
        <x:v>385.26336321642805</x:v>
      </x:c>
      <x:c r="G258" s="16" t="n">
        <x:f>IF(OR('Analysis'!$G$21=0,B258&gt;'Analysis'!$C$13*12),0,IF('Analysis'!$C$12=0,'Analysis'!$G$21/('Analysis'!$C$13*12),'Analysis'!$G$21*(1+'Analysis'!$C$12/12)^-('Analysis'!$C$13*12-B258)*(1-(1+'Analysis'!$C$12/12)^-1)/(1-(1+'Analysis'!$C$12/12)^-('Analysis'!$C$13*12))))</x:f>
        <x:v>401.35295890544853</x:v>
      </x:c>
      <x:c r="H258" s="16" t="n">
        <x:f>IF(B258&gt;='Analysis'!$C$13*12,0,MAX(0,D258-G258))</x:f>
        <x:v>61240.78515572346</x:v>
      </x:c>
    </x:row>
    <x:row r="259" ht="22" customHeight="1">
      <x:c r="A259" s="2"/>
      <x:c r="B259" s="41" t="n">
        <x:f>254</x:f>
        <x:v>254</x:v>
      </x:c>
      <x:c r="C259" s="41" t="n">
        <x:f>ROUNDUP(B259/12,0)</x:f>
        <x:v>22</x:v>
      </x:c>
      <x:c r="D259" s="16" t="n">
        <x:f>H258</x:f>
        <x:v>61240.78515572346</x:v>
      </x:c>
      <x:c r="E259" s="32" t="n">
        <x:f>IF(B259&gt;'Analysis'!$C$13*12,0,'Analysis'!$G$22)</x:f>
        <x:v>786.6163221218766</x:v>
      </x:c>
      <x:c r="F259" s="32" t="n">
        <x:f>MAX(0,E259-G259)</x:f>
        <x:v>382.7549072232691</x:v>
      </x:c>
      <x:c r="G259" s="16" t="n">
        <x:f>IF(OR('Analysis'!$G$21=0,B259&gt;'Analysis'!$C$13*12),0,IF('Analysis'!$C$12=0,'Analysis'!$G$21/('Analysis'!$C$13*12),'Analysis'!$G$21*(1+'Analysis'!$C$12/12)^-('Analysis'!$C$13*12-B259)*(1-(1+'Analysis'!$C$12/12)^-1)/(1-(1+'Analysis'!$C$12/12)^-('Analysis'!$C$13*12))))</x:f>
        <x:v>403.8614148986075</x:v>
      </x:c>
      <x:c r="H259" s="16" t="n">
        <x:f>IF(B259&gt;='Analysis'!$C$13*12,0,MAX(0,D259-G259))</x:f>
        <x:v>60836.92374082485</x:v>
      </x:c>
    </x:row>
    <x:row r="260" ht="22" customHeight="1">
      <x:c r="A260" s="2"/>
      <x:c r="B260" s="41" t="n">
        <x:f>255</x:f>
        <x:v>255</x:v>
      </x:c>
      <x:c r="C260" s="41" t="n">
        <x:f>ROUNDUP(B260/12,0)</x:f>
        <x:v>22</x:v>
      </x:c>
      <x:c r="D260" s="16" t="n">
        <x:f>H259</x:f>
        <x:v>60836.92374082485</x:v>
      </x:c>
      <x:c r="E260" s="32" t="n">
        <x:f>IF(B260&gt;'Analysis'!$C$13*12,0,'Analysis'!$G$22)</x:f>
        <x:v>786.6163221218766</x:v>
      </x:c>
      <x:c r="F260" s="32" t="n">
        <x:f>MAX(0,E260-G260)</x:f>
        <x:v>380.2307733801526</x:v>
      </x:c>
      <x:c r="G260" s="16" t="n">
        <x:f>IF(OR('Analysis'!$G$21=0,B260&gt;'Analysis'!$C$13*12),0,IF('Analysis'!$C$12=0,'Analysis'!$G$21/('Analysis'!$C$13*12),'Analysis'!$G$21*(1+'Analysis'!$C$12/12)^-('Analysis'!$C$13*12-B260)*(1-(1+'Analysis'!$C$12/12)^-1)/(1-(1+'Analysis'!$C$12/12)^-('Analysis'!$C$13*12))))</x:f>
        <x:v>406.385548741724</x:v>
      </x:c>
      <x:c r="H260" s="16" t="n">
        <x:f>IF(B260&gt;='Analysis'!$C$13*12,0,MAX(0,D260-G260))</x:f>
        <x:v>60430.53819208313</x:v>
      </x:c>
    </x:row>
    <x:row r="261" ht="22" customHeight="1">
      <x:c r="A261" s="2"/>
      <x:c r="B261" s="41" t="n">
        <x:f>256</x:f>
        <x:v>256</x:v>
      </x:c>
      <x:c r="C261" s="41" t="n">
        <x:f>ROUNDUP(B261/12,0)</x:f>
        <x:v>22</x:v>
      </x:c>
      <x:c r="D261" s="16" t="n">
        <x:f>H260</x:f>
        <x:v>60430.53819208313</x:v>
      </x:c>
      <x:c r="E261" s="32" t="n">
        <x:f>IF(B261&gt;'Analysis'!$C$13*12,0,'Analysis'!$G$22)</x:f>
        <x:v>786.6163221218766</x:v>
      </x:c>
      <x:c r="F261" s="32" t="n">
        <x:f>MAX(0,E261-G261)</x:f>
        <x:v>377.69086370051684</x:v>
      </x:c>
      <x:c r="G261" s="16" t="n">
        <x:f>IF(OR('Analysis'!$G$21=0,B261&gt;'Analysis'!$C$13*12),0,IF('Analysis'!$C$12=0,'Analysis'!$G$21/('Analysis'!$C$13*12),'Analysis'!$G$21*(1+'Analysis'!$C$12/12)^-('Analysis'!$C$13*12-B261)*(1-(1+'Analysis'!$C$12/12)^-1)/(1-(1+'Analysis'!$C$12/12)^-('Analysis'!$C$13*12))))</x:f>
        <x:v>408.92545842135974</x:v>
      </x:c>
      <x:c r="H261" s="16" t="n">
        <x:f>IF(B261&gt;='Analysis'!$C$13*12,0,MAX(0,D261-G261))</x:f>
        <x:v>60021.612733661765</x:v>
      </x:c>
    </x:row>
    <x:row r="262" ht="22" customHeight="1">
      <x:c r="A262" s="2"/>
      <x:c r="B262" s="41" t="n">
        <x:f>257</x:f>
        <x:v>257</x:v>
      </x:c>
      <x:c r="C262" s="41" t="n">
        <x:f>ROUNDUP(B262/12,0)</x:f>
        <x:v>22</x:v>
      </x:c>
      <x:c r="D262" s="16" t="n">
        <x:f>H261</x:f>
        <x:v>60021.612733661765</x:v>
      </x:c>
      <x:c r="E262" s="32" t="n">
        <x:f>IF(B262&gt;'Analysis'!$C$13*12,0,'Analysis'!$G$22)</x:f>
        <x:v>786.6163221218766</x:v>
      </x:c>
      <x:c r="F262" s="32" t="n">
        <x:f>MAX(0,E262-G262)</x:f>
        <x:v>375.1350795853834</x:v>
      </x:c>
      <x:c r="G262" s="16" t="n">
        <x:f>IF(OR('Analysis'!$G$21=0,B262&gt;'Analysis'!$C$13*12),0,IF('Analysis'!$C$12=0,'Analysis'!$G$21/('Analysis'!$C$13*12),'Analysis'!$G$21*(1+'Analysis'!$C$12/12)^-('Analysis'!$C$13*12-B262)*(1-(1+'Analysis'!$C$12/12)^-1)/(1-(1+'Analysis'!$C$12/12)^-('Analysis'!$C$13*12))))</x:f>
        <x:v>411.4812425364932</x:v>
      </x:c>
      <x:c r="H262" s="16" t="n">
        <x:f>IF(B262&gt;='Analysis'!$C$13*12,0,MAX(0,D262-G262))</x:f>
        <x:v>59610.13149112527</x:v>
      </x:c>
    </x:row>
    <x:row r="263" ht="22" customHeight="1">
      <x:c r="A263" s="2"/>
      <x:c r="B263" s="41" t="n">
        <x:f>258</x:f>
        <x:v>258</x:v>
      </x:c>
      <x:c r="C263" s="41" t="n">
        <x:f>ROUNDUP(B263/12,0)</x:f>
        <x:v>22</x:v>
      </x:c>
      <x:c r="D263" s="16" t="n">
        <x:f>H262</x:f>
        <x:v>59610.13149112527</x:v>
      </x:c>
      <x:c r="E263" s="32" t="n">
        <x:f>IF(B263&gt;'Analysis'!$C$13*12,0,'Analysis'!$G$22)</x:f>
        <x:v>786.6163221218766</x:v>
      </x:c>
      <x:c r="F263" s="32" t="n">
        <x:f>MAX(0,E263-G263)</x:f>
        <x:v>372.5633218195302</x:v>
      </x:c>
      <x:c r="G263" s="16" t="n">
        <x:f>IF(OR('Analysis'!$G$21=0,B263&gt;'Analysis'!$C$13*12),0,IF('Analysis'!$C$12=0,'Analysis'!$G$21/('Analysis'!$C$13*12),'Analysis'!$G$21*(1+'Analysis'!$C$12/12)^-('Analysis'!$C$13*12-B263)*(1-(1+'Analysis'!$C$12/12)^-1)/(1-(1+'Analysis'!$C$12/12)^-('Analysis'!$C$13*12))))</x:f>
        <x:v>414.0530003023464</x:v>
      </x:c>
      <x:c r="H263" s="16" t="n">
        <x:f>IF(B263&gt;='Analysis'!$C$13*12,0,MAX(0,D263-G263))</x:f>
        <x:v>59196.078490822925</x:v>
      </x:c>
    </x:row>
    <x:row r="264" ht="22" customHeight="1">
      <x:c r="A264" s="2"/>
      <x:c r="B264" s="41" t="n">
        <x:f>259</x:f>
        <x:v>259</x:v>
      </x:c>
      <x:c r="C264" s="41" t="n">
        <x:f>ROUNDUP(B264/12,0)</x:f>
        <x:v>22</x:v>
      </x:c>
      <x:c r="D264" s="16" t="n">
        <x:f>H263</x:f>
        <x:v>59196.078490822925</x:v>
      </x:c>
      <x:c r="E264" s="32" t="n">
        <x:f>IF(B264&gt;'Analysis'!$C$13*12,0,'Analysis'!$G$22)</x:f>
        <x:v>786.6163221218766</x:v>
      </x:c>
      <x:c r="F264" s="32" t="n">
        <x:f>MAX(0,E264-G264)</x:f>
        <x:v>369.9754905676405</x:v>
      </x:c>
      <x:c r="G264" s="16" t="n">
        <x:f>IF(OR('Analysis'!$G$21=0,B264&gt;'Analysis'!$C$13*12),0,IF('Analysis'!$C$12=0,'Analysis'!$G$21/('Analysis'!$C$13*12),'Analysis'!$G$21*(1+'Analysis'!$C$12/12)^-('Analysis'!$C$13*12-B264)*(1-(1+'Analysis'!$C$12/12)^-1)/(1-(1+'Analysis'!$C$12/12)^-('Analysis'!$C$13*12))))</x:f>
        <x:v>416.64083155423606</x:v>
      </x:c>
      <x:c r="H264" s="16" t="n">
        <x:f>IF(B264&gt;='Analysis'!$C$13*12,0,MAX(0,D264-G264))</x:f>
        <x:v>58779.43765926869</x:v>
      </x:c>
    </x:row>
    <x:row r="265" ht="22" customHeight="1">
      <x:c r="A265" s="2"/>
      <x:c r="B265" s="41" t="n">
        <x:f>260</x:f>
        <x:v>260</x:v>
      </x:c>
      <x:c r="C265" s="41" t="n">
        <x:f>ROUNDUP(B265/12,0)</x:f>
        <x:v>22</x:v>
      </x:c>
      <x:c r="D265" s="16" t="n">
        <x:f>H264</x:f>
        <x:v>58779.43765926869</x:v>
      </x:c>
      <x:c r="E265" s="32" t="n">
        <x:f>IF(B265&gt;'Analysis'!$C$13*12,0,'Analysis'!$G$22)</x:f>
        <x:v>786.6163221218766</x:v>
      </x:c>
      <x:c r="F265" s="32" t="n">
        <x:f>MAX(0,E265-G265)</x:f>
        <x:v>367.3714853704265</x:v>
      </x:c>
      <x:c r="G265" s="16" t="n">
        <x:f>IF(OR('Analysis'!$G$21=0,B265&gt;'Analysis'!$C$13*12),0,IF('Analysis'!$C$12=0,'Analysis'!$G$21/('Analysis'!$C$13*12),'Analysis'!$G$21*(1+'Analysis'!$C$12/12)^-('Analysis'!$C$13*12-B265)*(1-(1+'Analysis'!$C$12/12)^-1)/(1-(1+'Analysis'!$C$12/12)^-('Analysis'!$C$13*12))))</x:f>
        <x:v>419.24483675145007</x:v>
      </x:c>
      <x:c r="H265" s="16" t="n">
        <x:f>IF(B265&gt;='Analysis'!$C$13*12,0,MAX(0,D265-G265))</x:f>
        <x:v>58360.19282251724</x:v>
      </x:c>
    </x:row>
    <x:row r="266" ht="22" customHeight="1">
      <x:c r="A266" s="2"/>
      <x:c r="B266" s="41" t="n">
        <x:f>261</x:f>
        <x:v>261</x:v>
      </x:c>
      <x:c r="C266" s="41" t="n">
        <x:f>ROUNDUP(B266/12,0)</x:f>
        <x:v>22</x:v>
      </x:c>
      <x:c r="D266" s="16" t="n">
        <x:f>H265</x:f>
        <x:v>58360.19282251724</x:v>
      </x:c>
      <x:c r="E266" s="32" t="n">
        <x:f>IF(B266&gt;'Analysis'!$C$13*12,0,'Analysis'!$G$22)</x:f>
        <x:v>786.6163221218766</x:v>
      </x:c>
      <x:c r="F266" s="32" t="n">
        <x:f>MAX(0,E266-G266)</x:f>
        <x:v>364.75120514072984</x:v>
      </x:c>
      <x:c r="G266" s="16" t="n">
        <x:f>IF(OR('Analysis'!$G$21=0,B266&gt;'Analysis'!$C$13*12),0,IF('Analysis'!$C$12=0,'Analysis'!$G$21/('Analysis'!$C$13*12),'Analysis'!$G$21*(1+'Analysis'!$C$12/12)^-('Analysis'!$C$13*12-B266)*(1-(1+'Analysis'!$C$12/12)^-1)/(1-(1+'Analysis'!$C$12/12)^-('Analysis'!$C$13*12))))</x:f>
        <x:v>421.86511698114674</x:v>
      </x:c>
      <x:c r="H266" s="16" t="n">
        <x:f>IF(B266&gt;='Analysis'!$C$13*12,0,MAX(0,D266-G266))</x:f>
        <x:v>57938.32770553609</x:v>
      </x:c>
    </x:row>
    <x:row r="267" ht="22" customHeight="1">
      <x:c r="A267" s="2"/>
      <x:c r="B267" s="41" t="n">
        <x:f>262</x:f>
        <x:v>262</x:v>
      </x:c>
      <x:c r="C267" s="41" t="n">
        <x:f>ROUNDUP(B267/12,0)</x:f>
        <x:v>22</x:v>
      </x:c>
      <x:c r="D267" s="16" t="n">
        <x:f>H266</x:f>
        <x:v>57938.32770553609</x:v>
      </x:c>
      <x:c r="E267" s="32" t="n">
        <x:f>IF(B267&gt;'Analysis'!$C$13*12,0,'Analysis'!$G$22)</x:f>
        <x:v>786.6163221218766</x:v>
      </x:c>
      <x:c r="F267" s="32" t="n">
        <x:f>MAX(0,E267-G267)</x:f>
        <x:v>362.11454815959763</x:v>
      </x:c>
      <x:c r="G267" s="16" t="n">
        <x:f>IF(OR('Analysis'!$G$21=0,B267&gt;'Analysis'!$C$13*12),0,IF('Analysis'!$C$12=0,'Analysis'!$G$21/('Analysis'!$C$13*12),'Analysis'!$G$21*(1+'Analysis'!$C$12/12)^-('Analysis'!$C$13*12-B267)*(1-(1+'Analysis'!$C$12/12)^-1)/(1-(1+'Analysis'!$C$12/12)^-('Analysis'!$C$13*12))))</x:f>
        <x:v>424.50177396227895</x:v>
      </x:c>
      <x:c r="H267" s="16" t="n">
        <x:f>IF(B267&gt;='Analysis'!$C$13*12,0,MAX(0,D267-G267))</x:f>
        <x:v>57513.82593157381</x:v>
      </x:c>
    </x:row>
    <x:row r="268" ht="22" customHeight="1">
      <x:c r="A268" s="2"/>
      <x:c r="B268" s="41" t="n">
        <x:f>263</x:f>
        <x:v>263</x:v>
      </x:c>
      <x:c r="C268" s="41" t="n">
        <x:f>ROUNDUP(B268/12,0)</x:f>
        <x:v>22</x:v>
      </x:c>
      <x:c r="D268" s="16" t="n">
        <x:f>H267</x:f>
        <x:v>57513.82593157381</x:v>
      </x:c>
      <x:c r="E268" s="32" t="n">
        <x:f>IF(B268&gt;'Analysis'!$C$13*12,0,'Analysis'!$G$22)</x:f>
        <x:v>786.6163221218766</x:v>
      </x:c>
      <x:c r="F268" s="32" t="n">
        <x:f>MAX(0,E268-G268)</x:f>
        <x:v>359.46141207233336</x:v>
      </x:c>
      <x:c r="G268" s="16" t="n">
        <x:f>IF(OR('Analysis'!$G$21=0,B268&gt;'Analysis'!$C$13*12),0,IF('Analysis'!$C$12=0,'Analysis'!$G$21/('Analysis'!$C$13*12),'Analysis'!$G$21*(1+'Analysis'!$C$12/12)^-('Analysis'!$C$13*12-B268)*(1-(1+'Analysis'!$C$12/12)^-1)/(1-(1+'Analysis'!$C$12/12)^-('Analysis'!$C$13*12))))</x:f>
        <x:v>427.1549100495432</x:v>
      </x:c>
      <x:c r="H268" s="16" t="n">
        <x:f>IF(B268&gt;='Analysis'!$C$13*12,0,MAX(0,D268-G268))</x:f>
        <x:v>57086.671021524264</x:v>
      </x:c>
    </x:row>
    <x:row r="269" ht="22" customHeight="1">
      <x:c r="A269" s="2"/>
      <x:c r="B269" s="41" t="n">
        <x:f>264</x:f>
        <x:v>264</x:v>
      </x:c>
      <x:c r="C269" s="41" t="n">
        <x:f>ROUNDUP(B269/12,0)</x:f>
        <x:v>22</x:v>
      </x:c>
      <x:c r="D269" s="16" t="n">
        <x:f>H268</x:f>
        <x:v>57086.671021524264</x:v>
      </x:c>
      <x:c r="E269" s="32" t="n">
        <x:f>IF(B269&gt;'Analysis'!$C$13*12,0,'Analysis'!$G$22)</x:f>
        <x:v>786.6163221218766</x:v>
      </x:c>
      <x:c r="F269" s="32" t="n">
        <x:f>MAX(0,E269-G269)</x:f>
        <x:v>356.7916938845237</x:v>
      </x:c>
      <x:c r="G269" s="16" t="n">
        <x:f>IF(OR('Analysis'!$G$21=0,B269&gt;'Analysis'!$C$13*12),0,IF('Analysis'!$C$12=0,'Analysis'!$G$21/('Analysis'!$C$13*12),'Analysis'!$G$21*(1+'Analysis'!$C$12/12)^-('Analysis'!$C$13*12-B269)*(1-(1+'Analysis'!$C$12/12)^-1)/(1-(1+'Analysis'!$C$12/12)^-('Analysis'!$C$13*12))))</x:f>
        <x:v>429.8246282373529</x:v>
      </x:c>
      <x:c r="H269" s="16" t="n">
        <x:f>IF(B269&gt;='Analysis'!$C$13*12,0,MAX(0,D269-G269))</x:f>
        <x:v>56656.84639328691</x:v>
      </x:c>
    </x:row>
    <x:row r="270" ht="22" customHeight="1">
      <x:c r="A270" s="2"/>
      <x:c r="B270" s="41" t="n">
        <x:f>265</x:f>
        <x:v>265</x:v>
      </x:c>
      <x:c r="C270" s="41" t="n">
        <x:f>ROUNDUP(B270/12,0)</x:f>
        <x:v>23</x:v>
      </x:c>
      <x:c r="D270" s="16" t="n">
        <x:f>H269</x:f>
        <x:v>56656.84639328691</x:v>
      </x:c>
      <x:c r="E270" s="32" t="n">
        <x:f>IF(B270&gt;'Analysis'!$C$13*12,0,'Analysis'!$G$22)</x:f>
        <x:v>786.6163221218766</x:v>
      </x:c>
      <x:c r="F270" s="32" t="n">
        <x:f>MAX(0,E270-G270)</x:f>
        <x:v>354.10528995804026</x:v>
      </x:c>
      <x:c r="G270" s="16" t="n">
        <x:f>IF(OR('Analysis'!$G$21=0,B270&gt;'Analysis'!$C$13*12),0,IF('Analysis'!$C$12=0,'Analysis'!$G$21/('Analysis'!$C$13*12),'Analysis'!$G$21*(1+'Analysis'!$C$12/12)^-('Analysis'!$C$13*12-B270)*(1-(1+'Analysis'!$C$12/12)^-1)/(1-(1+'Analysis'!$C$12/12)^-('Analysis'!$C$13*12))))</x:f>
        <x:v>432.5110321638363</x:v>
      </x:c>
      <x:c r="H270" s="16" t="n">
        <x:f>IF(B270&gt;='Analysis'!$C$13*12,0,MAX(0,D270-G270))</x:f>
        <x:v>56224.33536112308</x:v>
      </x:c>
    </x:row>
    <x:row r="271" ht="22" customHeight="1">
      <x:c r="A271" s="2"/>
      <x:c r="B271" s="41" t="n">
        <x:f>266</x:f>
        <x:v>266</x:v>
      </x:c>
      <x:c r="C271" s="41" t="n">
        <x:f>ROUNDUP(B271/12,0)</x:f>
        <x:v>23</x:v>
      </x:c>
      <x:c r="D271" s="16" t="n">
        <x:f>H270</x:f>
        <x:v>56224.33536112308</x:v>
      </x:c>
      <x:c r="E271" s="32" t="n">
        <x:f>IF(B271&gt;'Analysis'!$C$13*12,0,'Analysis'!$G$22)</x:f>
        <x:v>786.6163221218766</x:v>
      </x:c>
      <x:c r="F271" s="32" t="n">
        <x:f>MAX(0,E271-G271)</x:f>
        <x:v>351.4020960070162</x:v>
      </x:c>
      <x:c r="G271" s="16" t="n">
        <x:f>IF(OR('Analysis'!$G$21=0,B271&gt;'Analysis'!$C$13*12),0,IF('Analysis'!$C$12=0,'Analysis'!$G$21/('Analysis'!$C$13*12),'Analysis'!$G$21*(1+'Analysis'!$C$12/12)^-('Analysis'!$C$13*12-B271)*(1-(1+'Analysis'!$C$12/12)^-1)/(1-(1+'Analysis'!$C$12/12)^-('Analysis'!$C$13*12))))</x:f>
        <x:v>435.21422611486037</x:v>
      </x:c>
      <x:c r="H271" s="16" t="n">
        <x:f>IF(B271&gt;='Analysis'!$C$13*12,0,MAX(0,D271-G271))</x:f>
        <x:v>55789.121135008216</x:v>
      </x:c>
    </x:row>
    <x:row r="272" ht="22" customHeight="1">
      <x:c r="A272" s="2"/>
      <x:c r="B272" s="41" t="n">
        <x:f>267</x:f>
        <x:v>267</x:v>
      </x:c>
      <x:c r="C272" s="41" t="n">
        <x:f>ROUNDUP(B272/12,0)</x:f>
        <x:v>23</x:v>
      </x:c>
      <x:c r="D272" s="16" t="n">
        <x:f>H271</x:f>
        <x:v>55789.121135008216</x:v>
      </x:c>
      <x:c r="E272" s="32" t="n">
        <x:f>IF(B272&gt;'Analysis'!$C$13*12,0,'Analysis'!$G$22)</x:f>
        <x:v>786.6163221218766</x:v>
      </x:c>
      <x:c r="F272" s="32" t="n">
        <x:f>MAX(0,E272-G272)</x:f>
        <x:v>348.68200709379823</x:v>
      </x:c>
      <x:c r="G272" s="16" t="n">
        <x:f>IF(OR('Analysis'!$G$21=0,B272&gt;'Analysis'!$C$13*12),0,IF('Analysis'!$C$12=0,'Analysis'!$G$21/('Analysis'!$C$13*12),'Analysis'!$G$21*(1+'Analysis'!$C$12/12)^-('Analysis'!$C$13*12-B272)*(1-(1+'Analysis'!$C$12/12)^-1)/(1-(1+'Analysis'!$C$12/12)^-('Analysis'!$C$13*12))))</x:f>
        <x:v>437.93431502807834</x:v>
      </x:c>
      <x:c r="H272" s="16" t="n">
        <x:f>IF(B272&gt;='Analysis'!$C$13*12,0,MAX(0,D272-G272))</x:f>
        <x:v>55351.18681998014</x:v>
      </x:c>
    </x:row>
    <x:row r="273" ht="22" customHeight="1">
      <x:c r="A273" s="2"/>
      <x:c r="B273" s="41" t="n">
        <x:f>268</x:f>
        <x:v>268</x:v>
      </x:c>
      <x:c r="C273" s="41" t="n">
        <x:f>ROUNDUP(B273/12,0)</x:f>
        <x:v>23</x:v>
      </x:c>
      <x:c r="D273" s="16" t="n">
        <x:f>H272</x:f>
        <x:v>55351.18681998014</x:v>
      </x:c>
      <x:c r="E273" s="32" t="n">
        <x:f>IF(B273&gt;'Analysis'!$C$13*12,0,'Analysis'!$G$22)</x:f>
        <x:v>786.6163221218766</x:v>
      </x:c>
      <x:c r="F273" s="32" t="n">
        <x:f>MAX(0,E273-G273)</x:f>
        <x:v>345.94491762487274</x:v>
      </x:c>
      <x:c r="G273" s="16" t="n">
        <x:f>IF(OR('Analysis'!$G$21=0,B273&gt;'Analysis'!$C$13*12),0,IF('Analysis'!$C$12=0,'Analysis'!$G$21/('Analysis'!$C$13*12),'Analysis'!$G$21*(1+'Analysis'!$C$12/12)^-('Analysis'!$C$13*12-B273)*(1-(1+'Analysis'!$C$12/12)^-1)/(1-(1+'Analysis'!$C$12/12)^-('Analysis'!$C$13*12))))</x:f>
        <x:v>440.67140449700383</x:v>
      </x:c>
      <x:c r="H273" s="16" t="n">
        <x:f>IF(B273&gt;='Analysis'!$C$13*12,0,MAX(0,D273-G273))</x:f>
        <x:v>54910.51541548313</x:v>
      </x:c>
    </x:row>
    <x:row r="274" ht="22" customHeight="1">
      <x:c r="A274" s="2"/>
      <x:c r="B274" s="41" t="n">
        <x:f>269</x:f>
        <x:v>269</x:v>
      </x:c>
      <x:c r="C274" s="41" t="n">
        <x:f>ROUNDUP(B274/12,0)</x:f>
        <x:v>23</x:v>
      </x:c>
      <x:c r="D274" s="16" t="n">
        <x:f>H273</x:f>
        <x:v>54910.51541548313</x:v>
      </x:c>
      <x:c r="E274" s="32" t="n">
        <x:f>IF(B274&gt;'Analysis'!$C$13*12,0,'Analysis'!$G$22)</x:f>
        <x:v>786.6163221218766</x:v>
      </x:c>
      <x:c r="F274" s="32" t="n">
        <x:f>MAX(0,E274-G274)</x:f>
        <x:v>343.19072134676634</x:v>
      </x:c>
      <x:c r="G274" s="16" t="n">
        <x:f>IF(OR('Analysis'!$G$21=0,B274&gt;'Analysis'!$C$13*12),0,IF('Analysis'!$C$12=0,'Analysis'!$G$21/('Analysis'!$C$13*12),'Analysis'!$G$21*(1+'Analysis'!$C$12/12)^-('Analysis'!$C$13*12-B274)*(1-(1+'Analysis'!$C$12/12)^-1)/(1-(1+'Analysis'!$C$12/12)^-('Analysis'!$C$13*12))))</x:f>
        <x:v>443.42560077511024</x:v>
      </x:c>
      <x:c r="H274" s="16" t="n">
        <x:f>IF(B274&gt;='Analysis'!$C$13*12,0,MAX(0,D274-G274))</x:f>
        <x:v>54467.08981470802</x:v>
      </x:c>
    </x:row>
    <x:row r="275" ht="22" customHeight="1">
      <x:c r="A275" s="2"/>
      <x:c r="B275" s="41" t="n">
        <x:f>270</x:f>
        <x:v>270</x:v>
      </x:c>
      <x:c r="C275" s="41" t="n">
        <x:f>ROUNDUP(B275/12,0)</x:f>
        <x:v>23</x:v>
      </x:c>
      <x:c r="D275" s="16" t="n">
        <x:f>H274</x:f>
        <x:v>54467.08981470802</x:v>
      </x:c>
      <x:c r="E275" s="32" t="n">
        <x:f>IF(B275&gt;'Analysis'!$C$13*12,0,'Analysis'!$G$22)</x:f>
        <x:v>786.6163221218766</x:v>
      </x:c>
      <x:c r="F275" s="32" t="n">
        <x:f>MAX(0,E275-G275)</x:f>
        <x:v>340.4193113419219</x:v>
      </x:c>
      <x:c r="G275" s="16" t="n">
        <x:f>IF(OR('Analysis'!$G$21=0,B275&gt;'Analysis'!$C$13*12),0,IF('Analysis'!$C$12=0,'Analysis'!$G$21/('Analysis'!$C$13*12),'Analysis'!$G$21*(1+'Analysis'!$C$12/12)^-('Analysis'!$C$13*12-B275)*(1-(1+'Analysis'!$C$12/12)^-1)/(1-(1+'Analysis'!$C$12/12)^-('Analysis'!$C$13*12))))</x:f>
        <x:v>446.19701077995467</x:v>
      </x:c>
      <x:c r="H275" s="16" t="n">
        <x:f>IF(B275&gt;='Analysis'!$C$13*12,0,MAX(0,D275-G275))</x:f>
        <x:v>54020.892803928065</x:v>
      </x:c>
    </x:row>
    <x:row r="276" ht="22" customHeight="1">
      <x:c r="A276" s="2"/>
      <x:c r="B276" s="41" t="n">
        <x:f>271</x:f>
        <x:v>271</x:v>
      </x:c>
      <x:c r="C276" s="41" t="n">
        <x:f>ROUNDUP(B276/12,0)</x:f>
        <x:v>23</x:v>
      </x:c>
      <x:c r="D276" s="16" t="n">
        <x:f>H275</x:f>
        <x:v>54020.892803928065</x:v>
      </x:c>
      <x:c r="E276" s="32" t="n">
        <x:f>IF(B276&gt;'Analysis'!$C$13*12,0,'Analysis'!$G$22)</x:f>
        <x:v>786.6163221218766</x:v>
      </x:c>
      <x:c r="F276" s="32" t="n">
        <x:f>MAX(0,E276-G276)</x:f>
        <x:v>337.63058002454716</x:v>
      </x:c>
      <x:c r="G276" s="16" t="n">
        <x:f>IF(OR('Analysis'!$G$21=0,B276&gt;'Analysis'!$C$13*12),0,IF('Analysis'!$C$12=0,'Analysis'!$G$21/('Analysis'!$C$13*12),'Analysis'!$G$21*(1+'Analysis'!$C$12/12)^-('Analysis'!$C$13*12-B276)*(1-(1+'Analysis'!$C$12/12)^-1)/(1-(1+'Analysis'!$C$12/12)^-('Analysis'!$C$13*12))))</x:f>
        <x:v>448.9857420973294</x:v>
      </x:c>
      <x:c r="H276" s="16" t="n">
        <x:f>IF(B276&gt;='Analysis'!$C$13*12,0,MAX(0,D276-G276))</x:f>
        <x:v>53571.90706183074</x:v>
      </x:c>
    </x:row>
    <x:row r="277" ht="22" customHeight="1">
      <x:c r="A277" s="2"/>
      <x:c r="B277" s="41" t="n">
        <x:f>272</x:f>
        <x:v>272</x:v>
      </x:c>
      <x:c r="C277" s="41" t="n">
        <x:f>ROUNDUP(B277/12,0)</x:f>
        <x:v>23</x:v>
      </x:c>
      <x:c r="D277" s="16" t="n">
        <x:f>H276</x:f>
        <x:v>53571.90706183074</x:v>
      </x:c>
      <x:c r="E277" s="32" t="n">
        <x:f>IF(B277&gt;'Analysis'!$C$13*12,0,'Analysis'!$G$22)</x:f>
        <x:v>786.6163221218766</x:v>
      </x:c>
      <x:c r="F277" s="32" t="n">
        <x:f>MAX(0,E277-G277)</x:f>
        <x:v>334.8244191364388</x:v>
      </x:c>
      <x:c r="G277" s="16" t="n">
        <x:f>IF(OR('Analysis'!$G$21=0,B277&gt;'Analysis'!$C$13*12),0,IF('Analysis'!$C$12=0,'Analysis'!$G$21/('Analysis'!$C$13*12),'Analysis'!$G$21*(1+'Analysis'!$C$12/12)^-('Analysis'!$C$13*12-B277)*(1-(1+'Analysis'!$C$12/12)^-1)/(1-(1+'Analysis'!$C$12/12)^-('Analysis'!$C$13*12))))</x:f>
        <x:v>451.7919029854378</x:v>
      </x:c>
      <x:c r="H277" s="16" t="n">
        <x:f>IF(B277&gt;='Analysis'!$C$13*12,0,MAX(0,D277-G277))</x:f>
        <x:v>53120.1151588453</x:v>
      </x:c>
    </x:row>
    <x:row r="278" ht="22" customHeight="1">
      <x:c r="A278" s="2"/>
      <x:c r="B278" s="41" t="n">
        <x:f>273</x:f>
        <x:v>273</x:v>
      </x:c>
      <x:c r="C278" s="41" t="n">
        <x:f>ROUNDUP(B278/12,0)</x:f>
        <x:v>23</x:v>
      </x:c>
      <x:c r="D278" s="16" t="n">
        <x:f>H277</x:f>
        <x:v>53120.1151588453</x:v>
      </x:c>
      <x:c r="E278" s="32" t="n">
        <x:f>IF(B278&gt;'Analysis'!$C$13*12,0,'Analysis'!$G$22)</x:f>
        <x:v>786.6163221218766</x:v>
      </x:c>
      <x:c r="F278" s="32" t="n">
        <x:f>MAX(0,E278-G278)</x:f>
        <x:v>332.00071974277984</x:v>
      </x:c>
      <x:c r="G278" s="16" t="n">
        <x:f>IF(OR('Analysis'!$G$21=0,B278&gt;'Analysis'!$C$13*12),0,IF('Analysis'!$C$12=0,'Analysis'!$G$21/('Analysis'!$C$13*12),'Analysis'!$G$21*(1+'Analysis'!$C$12/12)^-('Analysis'!$C$13*12-B278)*(1-(1+'Analysis'!$C$12/12)^-1)/(1-(1+'Analysis'!$C$12/12)^-('Analysis'!$C$13*12))))</x:f>
        <x:v>454.61560237909674</x:v>
      </x:c>
      <x:c r="H278" s="16" t="n">
        <x:f>IF(B278&gt;='Analysis'!$C$13*12,0,MAX(0,D278-G278))</x:f>
        <x:v>52665.4995564662</x:v>
      </x:c>
    </x:row>
    <x:row r="279" ht="22" customHeight="1">
      <x:c r="A279" s="2"/>
      <x:c r="B279" s="41" t="n">
        <x:f>274</x:f>
        <x:v>274</x:v>
      </x:c>
      <x:c r="C279" s="41" t="n">
        <x:f>ROUNDUP(B279/12,0)</x:f>
        <x:v>23</x:v>
      </x:c>
      <x:c r="D279" s="16" t="n">
        <x:f>H278</x:f>
        <x:v>52665.4995564662</x:v>
      </x:c>
      <x:c r="E279" s="32" t="n">
        <x:f>IF(B279&gt;'Analysis'!$C$13*12,0,'Analysis'!$G$22)</x:f>
        <x:v>786.6163221218766</x:v>
      </x:c>
      <x:c r="F279" s="32" t="n">
        <x:f>MAX(0,E279-G279)</x:f>
        <x:v>329.1593722279104</x:v>
      </x:c>
      <x:c r="G279" s="16" t="n">
        <x:f>IF(OR('Analysis'!$G$21=0,B279&gt;'Analysis'!$C$13*12),0,IF('Analysis'!$C$12=0,'Analysis'!$G$21/('Analysis'!$C$13*12),'Analysis'!$G$21*(1+'Analysis'!$C$12/12)^-('Analysis'!$C$13*12-B279)*(1-(1+'Analysis'!$C$12/12)^-1)/(1-(1+'Analysis'!$C$12/12)^-('Analysis'!$C$13*12))))</x:f>
        <x:v>457.45694989396617</x:v>
      </x:c>
      <x:c r="H279" s="16" t="n">
        <x:f>IF(B279&gt;='Analysis'!$C$13*12,0,MAX(0,D279-G279))</x:f>
        <x:v>52208.042606572235</x:v>
      </x:c>
    </x:row>
    <x:row r="280" ht="22" customHeight="1">
      <x:c r="A280" s="2"/>
      <x:c r="B280" s="41" t="n">
        <x:f>275</x:f>
        <x:v>275</x:v>
      </x:c>
      <x:c r="C280" s="41" t="n">
        <x:f>ROUNDUP(B280/12,0)</x:f>
        <x:v>23</x:v>
      </x:c>
      <x:c r="D280" s="16" t="n">
        <x:f>H279</x:f>
        <x:v>52208.042606572235</x:v>
      </x:c>
      <x:c r="E280" s="32" t="n">
        <x:f>IF(B280&gt;'Analysis'!$C$13*12,0,'Analysis'!$G$22)</x:f>
        <x:v>786.6163221218766</x:v>
      </x:c>
      <x:c r="F280" s="32" t="n">
        <x:f>MAX(0,E280-G280)</x:f>
        <x:v>326.3002662910731</x:v>
      </x:c>
      <x:c r="G280" s="16" t="n">
        <x:f>IF(OR('Analysis'!$G$21=0,B280&gt;'Analysis'!$C$13*12),0,IF('Analysis'!$C$12=0,'Analysis'!$G$21/('Analysis'!$C$13*12),'Analysis'!$G$21*(1+'Analysis'!$C$12/12)^-('Analysis'!$C$13*12-B280)*(1-(1+'Analysis'!$C$12/12)^-1)/(1-(1+'Analysis'!$C$12/12)^-('Analysis'!$C$13*12))))</x:f>
        <x:v>460.31605583080346</x:v>
      </x:c>
      <x:c r="H280" s="16" t="n">
        <x:f>IF(B280&gt;='Analysis'!$C$13*12,0,MAX(0,D280-G280))</x:f>
        <x:v>51747.726550741434</x:v>
      </x:c>
    </x:row>
    <x:row r="281" ht="22" customHeight="1">
      <x:c r="A281" s="2"/>
      <x:c r="B281" s="41" t="n">
        <x:f>276</x:f>
        <x:v>276</x:v>
      </x:c>
      <x:c r="C281" s="41" t="n">
        <x:f>ROUNDUP(B281/12,0)</x:f>
        <x:v>23</x:v>
      </x:c>
      <x:c r="D281" s="16" t="n">
        <x:f>H280</x:f>
        <x:v>51747.726550741434</x:v>
      </x:c>
      <x:c r="E281" s="32" t="n">
        <x:f>IF(B281&gt;'Analysis'!$C$13*12,0,'Analysis'!$G$22)</x:f>
        <x:v>786.6163221218766</x:v>
      </x:c>
      <x:c r="F281" s="32" t="n">
        <x:f>MAX(0,E281-G281)</x:f>
        <x:v>323.42329094213056</x:v>
      </x:c>
      <x:c r="G281" s="16" t="n">
        <x:f>IF(OR('Analysis'!$G$21=0,B281&gt;'Analysis'!$C$13*12),0,IF('Analysis'!$C$12=0,'Analysis'!$G$21/('Analysis'!$C$13*12),'Analysis'!$G$21*(1+'Analysis'!$C$12/12)^-('Analysis'!$C$13*12-B281)*(1-(1+'Analysis'!$C$12/12)^-1)/(1-(1+'Analysis'!$C$12/12)^-('Analysis'!$C$13*12))))</x:f>
        <x:v>463.193031179746</x:v>
      </x:c>
      <x:c r="H281" s="16" t="n">
        <x:f>IF(B281&gt;='Analysis'!$C$13*12,0,MAX(0,D281-G281))</x:f>
        <x:v>51284.533519561686</x:v>
      </x:c>
    </x:row>
    <x:row r="282" ht="22" customHeight="1">
      <x:c r="A282" s="2"/>
      <x:c r="B282" s="41" t="n">
        <x:f>277</x:f>
        <x:v>277</x:v>
      </x:c>
      <x:c r="C282" s="41" t="n">
        <x:f>ROUNDUP(B282/12,0)</x:f>
        <x:v>24</x:v>
      </x:c>
      <x:c r="D282" s="16" t="n">
        <x:f>H281</x:f>
        <x:v>51284.533519561686</x:v>
      </x:c>
      <x:c r="E282" s="32" t="n">
        <x:f>IF(B282&gt;'Analysis'!$C$13*12,0,'Analysis'!$G$22)</x:f>
        <x:v>786.6163221218766</x:v>
      </x:c>
      <x:c r="F282" s="32" t="n">
        <x:f>MAX(0,E282-G282)</x:f>
        <x:v>320.52833449725705</x:v>
      </x:c>
      <x:c r="G282" s="16" t="n">
        <x:f>IF(OR('Analysis'!$G$21=0,B282&gt;'Analysis'!$C$13*12),0,IF('Analysis'!$C$12=0,'Analysis'!$G$21/('Analysis'!$C$13*12),'Analysis'!$G$21*(1+'Analysis'!$C$12/12)^-('Analysis'!$C$13*12-B282)*(1-(1+'Analysis'!$C$12/12)^-1)/(1-(1+'Analysis'!$C$12/12)^-('Analysis'!$C$13*12))))</x:f>
        <x:v>466.08798762461953</x:v>
      </x:c>
      <x:c r="H282" s="16" t="n">
        <x:f>IF(B282&gt;='Analysis'!$C$13*12,0,MAX(0,D282-G282))</x:f>
        <x:v>50818.44553193707</x:v>
      </x:c>
    </x:row>
    <x:row r="283" ht="22" customHeight="1">
      <x:c r="A283" s="2"/>
      <x:c r="B283" s="41" t="n">
        <x:f>278</x:f>
        <x:v>278</x:v>
      </x:c>
      <x:c r="C283" s="41" t="n">
        <x:f>ROUNDUP(B283/12,0)</x:f>
        <x:v>24</x:v>
      </x:c>
      <x:c r="D283" s="16" t="n">
        <x:f>H282</x:f>
        <x:v>50818.44553193707</x:v>
      </x:c>
      <x:c r="E283" s="32" t="n">
        <x:f>IF(B283&gt;'Analysis'!$C$13*12,0,'Analysis'!$G$22)</x:f>
        <x:v>786.6163221218766</x:v>
      </x:c>
      <x:c r="F283" s="32" t="n">
        <x:f>MAX(0,E283-G283)</x:f>
        <x:v>317.6152845746031</x:v>
      </x:c>
      <x:c r="G283" s="16" t="n">
        <x:f>IF(OR('Analysis'!$G$21=0,B283&gt;'Analysis'!$C$13*12),0,IF('Analysis'!$C$12=0,'Analysis'!$G$21/('Analysis'!$C$13*12),'Analysis'!$G$21*(1+'Analysis'!$C$12/12)^-('Analysis'!$C$13*12-B283)*(1-(1+'Analysis'!$C$12/12)^-1)/(1-(1+'Analysis'!$C$12/12)^-('Analysis'!$C$13*12))))</x:f>
        <x:v>469.0010375472735</x:v>
      </x:c>
      <x:c r="H283" s="16" t="n">
        <x:f>IF(B283&gt;='Analysis'!$C$13*12,0,MAX(0,D283-G283))</x:f>
        <x:v>50349.4444943898</x:v>
      </x:c>
    </x:row>
    <x:row r="284" ht="22" customHeight="1">
      <x:c r="A284" s="2"/>
      <x:c r="B284" s="41" t="n">
        <x:f>279</x:f>
        <x:v>279</x:v>
      </x:c>
      <x:c r="C284" s="41" t="n">
        <x:f>ROUNDUP(B284/12,0)</x:f>
        <x:v>24</x:v>
      </x:c>
      <x:c r="D284" s="16" t="n">
        <x:f>H283</x:f>
        <x:v>50349.4444943898</x:v>
      </x:c>
      <x:c r="E284" s="32" t="n">
        <x:f>IF(B284&gt;'Analysis'!$C$13*12,0,'Analysis'!$G$22)</x:f>
        <x:v>786.6163221218766</x:v>
      </x:c>
      <x:c r="F284" s="32" t="n">
        <x:f>MAX(0,E284-G284)</x:f>
        <x:v>314.68402808993267</x:v>
      </x:c>
      <x:c r="G284" s="16" t="n">
        <x:f>IF(OR('Analysis'!$G$21=0,B284&gt;'Analysis'!$C$13*12),0,IF('Analysis'!$C$12=0,'Analysis'!$G$21/('Analysis'!$C$13*12),'Analysis'!$G$21*(1+'Analysis'!$C$12/12)^-('Analysis'!$C$13*12-B284)*(1-(1+'Analysis'!$C$12/12)^-1)/(1-(1+'Analysis'!$C$12/12)^-('Analysis'!$C$13*12))))</x:f>
        <x:v>471.9322940319439</x:v>
      </x:c>
      <x:c r="H284" s="16" t="n">
        <x:f>IF(B284&gt;='Analysis'!$C$13*12,0,MAX(0,D284-G284))</x:f>
        <x:v>49877.51220035785</x:v>
      </x:c>
    </x:row>
    <x:row r="285" ht="22" customHeight="1">
      <x:c r="A285" s="2"/>
      <x:c r="B285" s="41" t="n">
        <x:f>280</x:f>
        <x:v>280</x:v>
      </x:c>
      <x:c r="C285" s="41" t="n">
        <x:f>ROUNDUP(B285/12,0)</x:f>
        <x:v>24</x:v>
      </x:c>
      <x:c r="D285" s="16" t="n">
        <x:f>H284</x:f>
        <x:v>49877.51220035785</x:v>
      </x:c>
      <x:c r="E285" s="32" t="n">
        <x:f>IF(B285&gt;'Analysis'!$C$13*12,0,'Analysis'!$G$22)</x:f>
        <x:v>786.6163221218766</x:v>
      </x:c>
      <x:c r="F285" s="32" t="n">
        <x:f>MAX(0,E285-G285)</x:f>
        <x:v>311.734451252233</x:v>
      </x:c>
      <x:c r="G285" s="16" t="n">
        <x:f>IF(OR('Analysis'!$G$21=0,B285&gt;'Analysis'!$C$13*12),0,IF('Analysis'!$C$12=0,'Analysis'!$G$21/('Analysis'!$C$13*12),'Analysis'!$G$21*(1+'Analysis'!$C$12/12)^-('Analysis'!$C$13*12-B285)*(1-(1+'Analysis'!$C$12/12)^-1)/(1-(1+'Analysis'!$C$12/12)^-('Analysis'!$C$13*12))))</x:f>
        <x:v>474.8818708696436</x:v>
      </x:c>
      <x:c r="H285" s="16" t="n">
        <x:f>IF(B285&gt;='Analysis'!$C$13*12,0,MAX(0,D285-G285))</x:f>
        <x:v>49402.63032948821</x:v>
      </x:c>
    </x:row>
    <x:row r="286" ht="22" customHeight="1">
      <x:c r="A286" s="2"/>
      <x:c r="B286" s="41" t="n">
        <x:f>281</x:f>
        <x:v>281</x:v>
      </x:c>
      <x:c r="C286" s="41" t="n">
        <x:f>ROUNDUP(B286/12,0)</x:f>
        <x:v>24</x:v>
      </x:c>
      <x:c r="D286" s="16" t="n">
        <x:f>H285</x:f>
        <x:v>49402.63032948821</x:v>
      </x:c>
      <x:c r="E286" s="32" t="n">
        <x:f>IF(B286&gt;'Analysis'!$C$13*12,0,'Analysis'!$G$22)</x:f>
        <x:v>786.6163221218766</x:v>
      </x:c>
      <x:c r="F286" s="32" t="n">
        <x:f>MAX(0,E286-G286)</x:f>
        <x:v>308.7664395592976</x:v>
      </x:c>
      <x:c r="G286" s="16" t="n">
        <x:f>IF(OR('Analysis'!$G$21=0,B286&gt;'Analysis'!$C$13*12),0,IF('Analysis'!$C$12=0,'Analysis'!$G$21/('Analysis'!$C$13*12),'Analysis'!$G$21*(1+'Analysis'!$C$12/12)^-('Analysis'!$C$13*12-B286)*(1-(1+'Analysis'!$C$12/12)^-1)/(1-(1+'Analysis'!$C$12/12)^-('Analysis'!$C$13*12))))</x:f>
        <x:v>477.84988256257896</x:v>
      </x:c>
      <x:c r="H286" s="16" t="n">
        <x:f>IF(B286&gt;='Analysis'!$C$13*12,0,MAX(0,D286-G286))</x:f>
        <x:v>48924.78044692563</x:v>
      </x:c>
    </x:row>
    <x:row r="287" ht="22" customHeight="1">
      <x:c r="A287" s="2"/>
      <x:c r="B287" s="41" t="n">
        <x:f>282</x:f>
        <x:v>282</x:v>
      </x:c>
      <x:c r="C287" s="41" t="n">
        <x:f>ROUNDUP(B287/12,0)</x:f>
        <x:v>24</x:v>
      </x:c>
      <x:c r="D287" s="16" t="n">
        <x:f>H286</x:f>
        <x:v>48924.78044692563</x:v>
      </x:c>
      <x:c r="E287" s="32" t="n">
        <x:f>IF(B287&gt;'Analysis'!$C$13*12,0,'Analysis'!$G$22)</x:f>
        <x:v>786.6163221218766</x:v>
      </x:c>
      <x:c r="F287" s="32" t="n">
        <x:f>MAX(0,E287-G287)</x:f>
        <x:v>305.7798777932815</x:v>
      </x:c>
      <x:c r="G287" s="16" t="n">
        <x:f>IF(OR('Analysis'!$G$21=0,B287&gt;'Analysis'!$C$13*12),0,IF('Analysis'!$C$12=0,'Analysis'!$G$21/('Analysis'!$C$13*12),'Analysis'!$G$21*(1+'Analysis'!$C$12/12)^-('Analysis'!$C$13*12-B287)*(1-(1+'Analysis'!$C$12/12)^-1)/(1-(1+'Analysis'!$C$12/12)^-('Analysis'!$C$13*12))))</x:f>
        <x:v>480.83644432859506</x:v>
      </x:c>
      <x:c r="H287" s="16" t="n">
        <x:f>IF(B287&gt;='Analysis'!$C$13*12,0,MAX(0,D287-G287))</x:f>
        <x:v>48443.94400259703</x:v>
      </x:c>
    </x:row>
    <x:row r="288" ht="22" customHeight="1">
      <x:c r="A288" s="2"/>
      <x:c r="B288" s="41" t="n">
        <x:f>283</x:f>
        <x:v>283</x:v>
      </x:c>
      <x:c r="C288" s="41" t="n">
        <x:f>ROUNDUP(B288/12,0)</x:f>
        <x:v>24</x:v>
      </x:c>
      <x:c r="D288" s="16" t="n">
        <x:f>H287</x:f>
        <x:v>48443.94400259703</x:v>
      </x:c>
      <x:c r="E288" s="32" t="n">
        <x:f>IF(B288&gt;'Analysis'!$C$13*12,0,'Analysis'!$G$22)</x:f>
        <x:v>786.6163221218766</x:v>
      </x:c>
      <x:c r="F288" s="32" t="n">
        <x:f>MAX(0,E288-G288)</x:f>
        <x:v>302.77465001622767</x:v>
      </x:c>
      <x:c r="G288" s="16" t="n">
        <x:f>IF(OR('Analysis'!$G$21=0,B288&gt;'Analysis'!$C$13*12),0,IF('Analysis'!$C$12=0,'Analysis'!$G$21/('Analysis'!$C$13*12),'Analysis'!$G$21*(1+'Analysis'!$C$12/12)^-('Analysis'!$C$13*12-B288)*(1-(1+'Analysis'!$C$12/12)^-1)/(1-(1+'Analysis'!$C$12/12)^-('Analysis'!$C$13*12))))</x:f>
        <x:v>483.8416721056489</x:v>
      </x:c>
      <x:c r="H288" s="16" t="n">
        <x:f>IF(B288&gt;='Analysis'!$C$13*12,0,MAX(0,D288-G288))</x:f>
        <x:v>47960.10233049138</x:v>
      </x:c>
    </x:row>
    <x:row r="289" ht="22" customHeight="1">
      <x:c r="A289" s="2"/>
      <x:c r="B289" s="41" t="n">
        <x:f>284</x:f>
        <x:v>284</x:v>
      </x:c>
      <x:c r="C289" s="41" t="n">
        <x:f>ROUNDUP(B289/12,0)</x:f>
        <x:v>24</x:v>
      </x:c>
      <x:c r="D289" s="16" t="n">
        <x:f>H288</x:f>
        <x:v>47960.10233049138</x:v>
      </x:c>
      <x:c r="E289" s="32" t="n">
        <x:f>IF(B289&gt;'Analysis'!$C$13*12,0,'Analysis'!$G$22)</x:f>
        <x:v>786.6163221218766</x:v>
      </x:c>
      <x:c r="F289" s="32" t="n">
        <x:f>MAX(0,E289-G289)</x:f>
        <x:v>299.7506395655674</x:v>
      </x:c>
      <x:c r="G289" s="16" t="n">
        <x:f>IF(OR('Analysis'!$G$21=0,B289&gt;'Analysis'!$C$13*12),0,IF('Analysis'!$C$12=0,'Analysis'!$G$21/('Analysis'!$C$13*12),'Analysis'!$G$21*(1+'Analysis'!$C$12/12)^-('Analysis'!$C$13*12-B289)*(1-(1+'Analysis'!$C$12/12)^-1)/(1-(1+'Analysis'!$C$12/12)^-('Analysis'!$C$13*12))))</x:f>
        <x:v>486.8656825563092</x:v>
      </x:c>
      <x:c r="H289" s="16" t="n">
        <x:f>IF(B289&gt;='Analysis'!$C$13*12,0,MAX(0,D289-G289))</x:f>
        <x:v>47473.236647935075</x:v>
      </x:c>
    </x:row>
    <x:row r="290" ht="22" customHeight="1">
      <x:c r="A290" s="2"/>
      <x:c r="B290" s="41" t="n">
        <x:f>285</x:f>
        <x:v>285</x:v>
      </x:c>
      <x:c r="C290" s="41" t="n">
        <x:f>ROUNDUP(B290/12,0)</x:f>
        <x:v>24</x:v>
      </x:c>
      <x:c r="D290" s="16" t="n">
        <x:f>H289</x:f>
        <x:v>47473.236647935075</x:v>
      </x:c>
      <x:c r="E290" s="32" t="n">
        <x:f>IF(B290&gt;'Analysis'!$C$13*12,0,'Analysis'!$G$22)</x:f>
        <x:v>786.6163221218766</x:v>
      </x:c>
      <x:c r="F290" s="32" t="n">
        <x:f>MAX(0,E290-G290)</x:f>
        <x:v>296.70772904959045</x:v>
      </x:c>
      <x:c r="G290" s="16" t="n">
        <x:f>IF(OR('Analysis'!$G$21=0,B290&gt;'Analysis'!$C$13*12),0,IF('Analysis'!$C$12=0,'Analysis'!$G$21/('Analysis'!$C$13*12),'Analysis'!$G$21*(1+'Analysis'!$C$12/12)^-('Analysis'!$C$13*12-B290)*(1-(1+'Analysis'!$C$12/12)^-1)/(1-(1+'Analysis'!$C$12/12)^-('Analysis'!$C$13*12))))</x:f>
        <x:v>489.9085930722861</x:v>
      </x:c>
      <x:c r="H290" s="16" t="n">
        <x:f>IF(B290&gt;='Analysis'!$C$13*12,0,MAX(0,D290-G290))</x:f>
        <x:v>46983.32805486279</x:v>
      </x:c>
    </x:row>
    <x:row r="291" ht="22" customHeight="1">
      <x:c r="A291" s="2"/>
      <x:c r="B291" s="41" t="n">
        <x:f>286</x:f>
        <x:v>286</x:v>
      </x:c>
      <x:c r="C291" s="41" t="n">
        <x:f>ROUNDUP(B291/12,0)</x:f>
        <x:v>24</x:v>
      </x:c>
      <x:c r="D291" s="16" t="n">
        <x:f>H290</x:f>
        <x:v>46983.32805486279</x:v>
      </x:c>
      <x:c r="E291" s="32" t="n">
        <x:f>IF(B291&gt;'Analysis'!$C$13*12,0,'Analysis'!$G$22)</x:f>
        <x:v>786.6163221218766</x:v>
      </x:c>
      <x:c r="F291" s="32" t="n">
        <x:f>MAX(0,E291-G291)</x:f>
        <x:v>293.64580034288855</x:v>
      </x:c>
      <x:c r="G291" s="16" t="n">
        <x:f>IF(OR('Analysis'!$G$21=0,B291&gt;'Analysis'!$C$13*12),0,IF('Analysis'!$C$12=0,'Analysis'!$G$21/('Analysis'!$C$13*12),'Analysis'!$G$21*(1+'Analysis'!$C$12/12)^-('Analysis'!$C$13*12-B291)*(1-(1+'Analysis'!$C$12/12)^-1)/(1-(1+'Analysis'!$C$12/12)^-('Analysis'!$C$13*12))))</x:f>
        <x:v>492.97052177898803</x:v>
      </x:c>
      <x:c r="H291" s="16" t="n">
        <x:f>IF(B291&gt;='Analysis'!$C$13*12,0,MAX(0,D291-G291))</x:f>
        <x:v>46490.3575330838</x:v>
      </x:c>
    </x:row>
    <x:row r="292" ht="22" customHeight="1">
      <x:c r="A292" s="2"/>
      <x:c r="B292" s="41" t="n">
        <x:f>287</x:f>
        <x:v>287</x:v>
      </x:c>
      <x:c r="C292" s="41" t="n">
        <x:f>ROUNDUP(B292/12,0)</x:f>
        <x:v>24</x:v>
      </x:c>
      <x:c r="D292" s="16" t="n">
        <x:f>H291</x:f>
        <x:v>46490.3575330838</x:v>
      </x:c>
      <x:c r="E292" s="32" t="n">
        <x:f>IF(B292&gt;'Analysis'!$C$13*12,0,'Analysis'!$G$22)</x:f>
        <x:v>786.6163221218766</x:v>
      </x:c>
      <x:c r="F292" s="32" t="n">
        <x:f>MAX(0,E292-G292)</x:f>
        <x:v>290.5647345817699</x:v>
      </x:c>
      <x:c r="G292" s="16" t="n">
        <x:f>IF(OR('Analysis'!$G$21=0,B292&gt;'Analysis'!$C$13*12),0,IF('Analysis'!$C$12=0,'Analysis'!$G$21/('Analysis'!$C$13*12),'Analysis'!$G$21*(1+'Analysis'!$C$12/12)^-('Analysis'!$C$13*12-B292)*(1-(1+'Analysis'!$C$12/12)^-1)/(1-(1+'Analysis'!$C$12/12)^-('Analysis'!$C$13*12))))</x:f>
        <x:v>496.05158754010665</x:v>
      </x:c>
      <x:c r="H292" s="16" t="n">
        <x:f>IF(B292&gt;='Analysis'!$C$13*12,0,MAX(0,D292-G292))</x:f>
        <x:v>45994.305945543696</x:v>
      </x:c>
    </x:row>
    <x:row r="293" ht="22" customHeight="1">
      <x:c r="A293" s="2"/>
      <x:c r="B293" s="41" t="n">
        <x:f>288</x:f>
        <x:v>288</x:v>
      </x:c>
      <x:c r="C293" s="41" t="n">
        <x:f>ROUNDUP(B293/12,0)</x:f>
        <x:v>24</x:v>
      </x:c>
      <x:c r="D293" s="16" t="n">
        <x:f>H292</x:f>
        <x:v>45994.305945543696</x:v>
      </x:c>
      <x:c r="E293" s="32" t="n">
        <x:f>IF(B293&gt;'Analysis'!$C$13*12,0,'Analysis'!$G$22)</x:f>
        <x:v>786.6163221218766</x:v>
      </x:c>
      <x:c r="F293" s="32" t="n">
        <x:f>MAX(0,E293-G293)</x:f>
        <x:v>287.46441215964416</x:v>
      </x:c>
      <x:c r="G293" s="16" t="n">
        <x:f>IF(OR('Analysis'!$G$21=0,B293&gt;'Analysis'!$C$13*12),0,IF('Analysis'!$C$12=0,'Analysis'!$G$21/('Analysis'!$C$13*12),'Analysis'!$G$21*(1+'Analysis'!$C$12/12)^-('Analysis'!$C$13*12-B293)*(1-(1+'Analysis'!$C$12/12)^-1)/(1-(1+'Analysis'!$C$12/12)^-('Analysis'!$C$13*12))))</x:f>
        <x:v>499.1519099622324</x:v>
      </x:c>
      <x:c r="H293" s="16" t="n">
        <x:f>IF(B293&gt;='Analysis'!$C$13*12,0,MAX(0,D293-G293))</x:f>
        <x:v>45495.154035581465</x:v>
      </x:c>
    </x:row>
    <x:row r="294" ht="22" customHeight="1">
      <x:c r="A294" s="2"/>
      <x:c r="B294" s="41" t="n">
        <x:f>289</x:f>
        <x:v>289</x:v>
      </x:c>
      <x:c r="C294" s="41" t="n">
        <x:f>ROUNDUP(B294/12,0)</x:f>
        <x:v>25</x:v>
      </x:c>
      <x:c r="D294" s="16" t="n">
        <x:f>H293</x:f>
        <x:v>45495.154035581465</x:v>
      </x:c>
      <x:c r="E294" s="32" t="n">
        <x:f>IF(B294&gt;'Analysis'!$C$13*12,0,'Analysis'!$G$22)</x:f>
        <x:v>786.6163221218766</x:v>
      </x:c>
      <x:c r="F294" s="32" t="n">
        <x:f>MAX(0,E294-G294)</x:f>
        <x:v>284.3447127223802</x:v>
      </x:c>
      <x:c r="G294" s="16" t="n">
        <x:f>IF(OR('Analysis'!$G$21=0,B294&gt;'Analysis'!$C$13*12),0,IF('Analysis'!$C$12=0,'Analysis'!$G$21/('Analysis'!$C$13*12),'Analysis'!$G$21*(1+'Analysis'!$C$12/12)^-('Analysis'!$C$13*12-B294)*(1-(1+'Analysis'!$C$12/12)^-1)/(1-(1+'Analysis'!$C$12/12)^-('Analysis'!$C$13*12))))</x:f>
        <x:v>502.27160939949636</x:v>
      </x:c>
      <x:c r="H294" s="16" t="n">
        <x:f>IF(B294&gt;='Analysis'!$C$13*12,0,MAX(0,D294-G294))</x:f>
        <x:v>44992.88242618197</x:v>
      </x:c>
    </x:row>
    <x:row r="295" ht="22" customHeight="1">
      <x:c r="A295" s="2"/>
      <x:c r="B295" s="41" t="n">
        <x:f>290</x:f>
        <x:v>290</x:v>
      </x:c>
      <x:c r="C295" s="41" t="n">
        <x:f>ROUNDUP(B295/12,0)</x:f>
        <x:v>25</x:v>
      </x:c>
      <x:c r="D295" s="16" t="n">
        <x:f>H294</x:f>
        <x:v>44992.88242618197</x:v>
      </x:c>
      <x:c r="E295" s="32" t="n">
        <x:f>IF(B295&gt;'Analysis'!$C$13*12,0,'Analysis'!$G$22)</x:f>
        <x:v>786.6163221218766</x:v>
      </x:c>
      <x:c r="F295" s="32" t="n">
        <x:f>MAX(0,E295-G295)</x:f>
        <x:v>281.2055151636332</x:v>
      </x:c>
      <x:c r="G295" s="16" t="n">
        <x:f>IF(OR('Analysis'!$G$21=0,B295&gt;'Analysis'!$C$13*12),0,IF('Analysis'!$C$12=0,'Analysis'!$G$21/('Analysis'!$C$13*12),'Analysis'!$G$21*(1+'Analysis'!$C$12/12)^-('Analysis'!$C$13*12-B295)*(1-(1+'Analysis'!$C$12/12)^-1)/(1-(1+'Analysis'!$C$12/12)^-('Analysis'!$C$13*12))))</x:f>
        <x:v>505.41080695824337</x:v>
      </x:c>
      <x:c r="H295" s="16" t="n">
        <x:f>IF(B295&gt;='Analysis'!$C$13*12,0,MAX(0,D295-G295))</x:f>
        <x:v>44487.471619223725</x:v>
      </x:c>
    </x:row>
    <x:row r="296" ht="22" customHeight="1">
      <x:c r="A296" s="2"/>
      <x:c r="B296" s="41" t="n">
        <x:f>291</x:f>
        <x:v>291</x:v>
      </x:c>
      <x:c r="C296" s="41" t="n">
        <x:f>ROUNDUP(B296/12,0)</x:f>
        <x:v>25</x:v>
      </x:c>
      <x:c r="D296" s="16" t="n">
        <x:f>H295</x:f>
        <x:v>44487.471619223725</x:v>
      </x:c>
      <x:c r="E296" s="32" t="n">
        <x:f>IF(B296&gt;'Analysis'!$C$13*12,0,'Analysis'!$G$22)</x:f>
        <x:v>786.6163221218766</x:v>
      </x:c>
      <x:c r="F296" s="32" t="n">
        <x:f>MAX(0,E296-G296)</x:f>
        <x:v>278.0466976201442</x:v>
      </x:c>
      <x:c r="G296" s="16" t="n">
        <x:f>IF(OR('Analysis'!$G$21=0,B296&gt;'Analysis'!$C$13*12),0,IF('Analysis'!$C$12=0,'Analysis'!$G$21/('Analysis'!$C$13*12),'Analysis'!$G$21*(1+'Analysis'!$C$12/12)^-('Analysis'!$C$13*12-B296)*(1-(1+'Analysis'!$C$12/12)^-1)/(1-(1+'Analysis'!$C$12/12)^-('Analysis'!$C$13*12))))</x:f>
        <x:v>508.5696245017324</x:v>
      </x:c>
      <x:c r="H296" s="16" t="n">
        <x:f>IF(B296&gt;='Analysis'!$C$13*12,0,MAX(0,D296-G296))</x:f>
        <x:v>43978.90199472199</x:v>
      </x:c>
    </x:row>
    <x:row r="297" ht="22" customHeight="1">
      <x:c r="A297" s="2"/>
      <x:c r="B297" s="41" t="n">
        <x:f>292</x:f>
        <x:v>292</x:v>
      </x:c>
      <x:c r="C297" s="41" t="n">
        <x:f>ROUNDUP(B297/12,0)</x:f>
        <x:v>25</x:v>
      </x:c>
      <x:c r="D297" s="16" t="n">
        <x:f>H296</x:f>
        <x:v>43978.90199472199</x:v>
      </x:c>
      <x:c r="E297" s="32" t="n">
        <x:f>IF(B297&gt;'Analysis'!$C$13*12,0,'Analysis'!$G$22)</x:f>
        <x:v>786.6163221218766</x:v>
      </x:c>
      <x:c r="F297" s="32" t="n">
        <x:f>MAX(0,E297-G297)</x:f>
        <x:v>274.86813746700835</x:v>
      </x:c>
      <x:c r="G297" s="16" t="n">
        <x:f>IF(OR('Analysis'!$G$21=0,B297&gt;'Analysis'!$C$13*12),0,IF('Analysis'!$C$12=0,'Analysis'!$G$21/('Analysis'!$C$13*12),'Analysis'!$G$21*(1+'Analysis'!$C$12/12)^-('Analysis'!$C$13*12-B297)*(1-(1+'Analysis'!$C$12/12)^-1)/(1-(1+'Analysis'!$C$12/12)^-('Analysis'!$C$13*12))))</x:f>
        <x:v>511.7481846548682</x:v>
      </x:c>
      <x:c r="H297" s="16" t="n">
        <x:f>IF(B297&gt;='Analysis'!$C$13*12,0,MAX(0,D297-G297))</x:f>
        <x:v>43467.153810067124</x:v>
      </x:c>
    </x:row>
    <x:row r="298" ht="22" customHeight="1">
      <x:c r="A298" s="2"/>
      <x:c r="B298" s="41" t="n">
        <x:f>293</x:f>
        <x:v>293</x:v>
      </x:c>
      <x:c r="C298" s="41" t="n">
        <x:f>ROUNDUP(B298/12,0)</x:f>
        <x:v>25</x:v>
      </x:c>
      <x:c r="D298" s="16" t="n">
        <x:f>H297</x:f>
        <x:v>43467.153810067124</x:v>
      </x:c>
      <x:c r="E298" s="32" t="n">
        <x:f>IF(B298&gt;'Analysis'!$C$13*12,0,'Analysis'!$G$22)</x:f>
        <x:v>786.6163221218766</x:v>
      </x:c>
      <x:c r="F298" s="32" t="n">
        <x:f>MAX(0,E298-G298)</x:f>
        <x:v>271.6697113129153</x:v>
      </x:c>
      <x:c r="G298" s="16" t="n">
        <x:f>IF(OR('Analysis'!$G$21=0,B298&gt;'Analysis'!$C$13*12),0,IF('Analysis'!$C$12=0,'Analysis'!$G$21/('Analysis'!$C$13*12),'Analysis'!$G$21*(1+'Analysis'!$C$12/12)^-('Analysis'!$C$13*12-B298)*(1-(1+'Analysis'!$C$12/12)^-1)/(1-(1+'Analysis'!$C$12/12)^-('Analysis'!$C$13*12))))</x:f>
        <x:v>514.9466108089613</x:v>
      </x:c>
      <x:c r="H298" s="16" t="n">
        <x:f>IF(B298&gt;='Analysis'!$C$13*12,0,MAX(0,D298-G298))</x:f>
        <x:v>42952.20719925816</x:v>
      </x:c>
    </x:row>
    <x:row r="299" ht="22" customHeight="1">
      <x:c r="A299" s="2"/>
      <x:c r="B299" s="41" t="n">
        <x:f>294</x:f>
        <x:v>294</x:v>
      </x:c>
      <x:c r="C299" s="41" t="n">
        <x:f>ROUNDUP(B299/12,0)</x:f>
        <x:v>25</x:v>
      </x:c>
      <x:c r="D299" s="16" t="n">
        <x:f>H298</x:f>
        <x:v>42952.20719925816</x:v>
      </x:c>
      <x:c r="E299" s="32" t="n">
        <x:f>IF(B299&gt;'Analysis'!$C$13*12,0,'Analysis'!$G$22)</x:f>
        <x:v>786.6163221218766</x:v>
      </x:c>
      <x:c r="F299" s="32" t="n">
        <x:f>MAX(0,E299-G299)</x:f>
        <x:v>268.45129499535926</x:v>
      </x:c>
      <x:c r="G299" s="16" t="n">
        <x:f>IF(OR('Analysis'!$G$21=0,B299&gt;'Analysis'!$C$13*12),0,IF('Analysis'!$C$12=0,'Analysis'!$G$21/('Analysis'!$C$13*12),'Analysis'!$G$21*(1+'Analysis'!$C$12/12)^-('Analysis'!$C$13*12-B299)*(1-(1+'Analysis'!$C$12/12)^-1)/(1-(1+'Analysis'!$C$12/12)^-('Analysis'!$C$13*12))))</x:f>
        <x:v>518.1650271265173</x:v>
      </x:c>
      <x:c r="H299" s="16" t="n">
        <x:f>IF(B299&gt;='Analysis'!$C$13*12,0,MAX(0,D299-G299))</x:f>
        <x:v>42434.042172131645</x:v>
      </x:c>
    </x:row>
    <x:row r="300" ht="22" customHeight="1">
      <x:c r="A300" s="2"/>
      <x:c r="B300" s="41" t="n">
        <x:f>295</x:f>
        <x:v>295</x:v>
      </x:c>
      <x:c r="C300" s="41" t="n">
        <x:f>ROUNDUP(B300/12,0)</x:f>
        <x:v>25</x:v>
      </x:c>
      <x:c r="D300" s="16" t="n">
        <x:f>H299</x:f>
        <x:v>42434.042172131645</x:v>
      </x:c>
      <x:c r="E300" s="32" t="n">
        <x:f>IF(B300&gt;'Analysis'!$C$13*12,0,'Analysis'!$G$22)</x:f>
        <x:v>786.6163221218766</x:v>
      </x:c>
      <x:c r="F300" s="32" t="n">
        <x:f>MAX(0,E300-G300)</x:f>
        <x:v>265.2127635758185</x:v>
      </x:c>
      <x:c r="G300" s="16" t="n">
        <x:f>IF(OR('Analysis'!$G$21=0,B300&gt;'Analysis'!$C$13*12),0,IF('Analysis'!$C$12=0,'Analysis'!$G$21/('Analysis'!$C$13*12),'Analysis'!$G$21*(1+'Analysis'!$C$12/12)^-('Analysis'!$C$13*12-B300)*(1-(1+'Analysis'!$C$12/12)^-1)/(1-(1+'Analysis'!$C$12/12)^-('Analysis'!$C$13*12))))</x:f>
        <x:v>521.4035585460581</x:v>
      </x:c>
      <x:c r="H300" s="16" t="n">
        <x:f>IF(B300&gt;='Analysis'!$C$13*12,0,MAX(0,D300-G300))</x:f>
        <x:v>41912.63861358559</x:v>
      </x:c>
    </x:row>
    <x:row r="301" ht="22" customHeight="1">
      <x:c r="A301" s="2"/>
      <x:c r="B301" s="41" t="n">
        <x:f>296</x:f>
        <x:v>296</x:v>
      </x:c>
      <x:c r="C301" s="41" t="n">
        <x:f>ROUNDUP(B301/12,0)</x:f>
        <x:v>25</x:v>
      </x:c>
      <x:c r="D301" s="16" t="n">
        <x:f>H300</x:f>
        <x:v>41912.63861358559</x:v>
      </x:c>
      <x:c r="E301" s="32" t="n">
        <x:f>IF(B301&gt;'Analysis'!$C$13*12,0,'Analysis'!$G$22)</x:f>
        <x:v>786.6163221218766</x:v>
      </x:c>
      <x:c r="F301" s="32" t="n">
        <x:f>MAX(0,E301-G301)</x:f>
        <x:v>261.9539913349056</x:v>
      </x:c>
      <x:c r="G301" s="16" t="n">
        <x:f>IF(OR('Analysis'!$G$21=0,B301&gt;'Analysis'!$C$13*12),0,IF('Analysis'!$C$12=0,'Analysis'!$G$21/('Analysis'!$C$13*12),'Analysis'!$G$21*(1+'Analysis'!$C$12/12)^-('Analysis'!$C$13*12-B301)*(1-(1+'Analysis'!$C$12/12)^-1)/(1-(1+'Analysis'!$C$12/12)^-('Analysis'!$C$13*12))))</x:f>
        <x:v>524.662330786971</x:v>
      </x:c>
      <x:c r="H301" s="16" t="n">
        <x:f>IF(B301&gt;='Analysis'!$C$13*12,0,MAX(0,D301-G301))</x:f>
        <x:v>41387.97628279861</x:v>
      </x:c>
    </x:row>
    <x:row r="302" ht="22" customHeight="1">
      <x:c r="A302" s="2"/>
      <x:c r="B302" s="41" t="n">
        <x:f>297</x:f>
        <x:v>297</x:v>
      </x:c>
      <x:c r="C302" s="41" t="n">
        <x:f>ROUNDUP(B302/12,0)</x:f>
        <x:v>25</x:v>
      </x:c>
      <x:c r="D302" s="16" t="n">
        <x:f>H301</x:f>
        <x:v>41387.97628279861</x:v>
      </x:c>
      <x:c r="E302" s="32" t="n">
        <x:f>IF(B302&gt;'Analysis'!$C$13*12,0,'Analysis'!$G$22)</x:f>
        <x:v>786.6163221218766</x:v>
      </x:c>
      <x:c r="F302" s="32" t="n">
        <x:f>MAX(0,E302-G302)</x:f>
        <x:v>258.674851767487</x:v>
      </x:c>
      <x:c r="G302" s="16" t="n">
        <x:f>IF(OR('Analysis'!$G$21=0,B302&gt;'Analysis'!$C$13*12),0,IF('Analysis'!$C$12=0,'Analysis'!$G$21/('Analysis'!$C$13*12),'Analysis'!$G$21*(1+'Analysis'!$C$12/12)^-('Analysis'!$C$13*12-B302)*(1-(1+'Analysis'!$C$12/12)^-1)/(1-(1+'Analysis'!$C$12/12)^-('Analysis'!$C$13*12))))</x:f>
        <x:v>527.9414703543896</x:v>
      </x:c>
      <x:c r="H302" s="16" t="n">
        <x:f>IF(B302&gt;='Analysis'!$C$13*12,0,MAX(0,D302-G302))</x:f>
        <x:v>40860.034812444224</x:v>
      </x:c>
    </x:row>
    <x:row r="303" ht="22" customHeight="1">
      <x:c r="A303" s="2"/>
      <x:c r="B303" s="41" t="n">
        <x:f>298</x:f>
        <x:v>298</x:v>
      </x:c>
      <x:c r="C303" s="41" t="n">
        <x:f>ROUNDUP(B303/12,0)</x:f>
        <x:v>25</x:v>
      </x:c>
      <x:c r="D303" s="16" t="n">
        <x:f>H302</x:f>
        <x:v>40860.034812444224</x:v>
      </x:c>
      <x:c r="E303" s="32" t="n">
        <x:f>IF(B303&gt;'Analysis'!$C$13*12,0,'Analysis'!$G$22)</x:f>
        <x:v>786.6163221218766</x:v>
      </x:c>
      <x:c r="F303" s="32" t="n">
        <x:f>MAX(0,E303-G303)</x:f>
        <x:v>255.375217577772</x:v>
      </x:c>
      <x:c r="G303" s="16" t="n">
        <x:f>IF(OR('Analysis'!$G$21=0,B303&gt;'Analysis'!$C$13*12),0,IF('Analysis'!$C$12=0,'Analysis'!$G$21/('Analysis'!$C$13*12),'Analysis'!$G$21*(1+'Analysis'!$C$12/12)^-('Analysis'!$C$13*12-B303)*(1-(1+'Analysis'!$C$12/12)^-1)/(1-(1+'Analysis'!$C$12/12)^-('Analysis'!$C$13*12))))</x:f>
        <x:v>531.2411045441046</x:v>
      </x:c>
      <x:c r="H303" s="16" t="n">
        <x:f>IF(B303&gt;='Analysis'!$C$13*12,0,MAX(0,D303-G303))</x:f>
        <x:v>40328.79370790012</x:v>
      </x:c>
    </x:row>
    <x:row r="304" ht="22" customHeight="1">
      <x:c r="A304" s="2"/>
      <x:c r="B304" s="41" t="n">
        <x:f>299</x:f>
        <x:v>299</x:v>
      </x:c>
      <x:c r="C304" s="41" t="n">
        <x:f>ROUNDUP(B304/12,0)</x:f>
        <x:v>25</x:v>
      </x:c>
      <x:c r="D304" s="16" t="n">
        <x:f>H303</x:f>
        <x:v>40328.79370790012</x:v>
      </x:c>
      <x:c r="E304" s="32" t="n">
        <x:f>IF(B304&gt;'Analysis'!$C$13*12,0,'Analysis'!$G$22)</x:f>
        <x:v>786.6163221218766</x:v>
      </x:c>
      <x:c r="F304" s="32" t="n">
        <x:f>MAX(0,E304-G304)</x:f>
        <x:v>252.05496067437127</x:v>
      </x:c>
      <x:c r="G304" s="16" t="n">
        <x:f>IF(OR('Analysis'!$G$21=0,B304&gt;'Analysis'!$C$13*12),0,IF('Analysis'!$C$12=0,'Analysis'!$G$21/('Analysis'!$C$13*12),'Analysis'!$G$21*(1+'Analysis'!$C$12/12)^-('Analysis'!$C$13*12-B304)*(1-(1+'Analysis'!$C$12/12)^-1)/(1-(1+'Analysis'!$C$12/12)^-('Analysis'!$C$13*12))))</x:f>
        <x:v>534.5613614475053</x:v>
      </x:c>
      <x:c r="H304" s="16" t="n">
        <x:f>IF(B304&gt;='Analysis'!$C$13*12,0,MAX(0,D304-G304))</x:f>
        <x:v>39794.23234645261</x:v>
      </x:c>
    </x:row>
    <x:row r="305" ht="22" customHeight="1">
      <x:c r="A305" s="2"/>
      <x:c r="B305" s="41" t="n">
        <x:f>300</x:f>
        <x:v>300</x:v>
      </x:c>
      <x:c r="C305" s="41" t="n">
        <x:f>ROUNDUP(B305/12,0)</x:f>
        <x:v>25</x:v>
      </x:c>
      <x:c r="D305" s="16" t="n">
        <x:f>H304</x:f>
        <x:v>39794.23234645261</x:v>
      </x:c>
      <x:c r="E305" s="32" t="n">
        <x:f>IF(B305&gt;'Analysis'!$C$13*12,0,'Analysis'!$G$22)</x:f>
        <x:v>786.6163221218766</x:v>
      </x:c>
      <x:c r="F305" s="32" t="n">
        <x:f>MAX(0,E305-G305)</x:f>
        <x:v>248.71395216532426</x:v>
      </x:c>
      <x:c r="G305" s="16" t="n">
        <x:f>IF(OR('Analysis'!$G$21=0,B305&gt;'Analysis'!$C$13*12),0,IF('Analysis'!$C$12=0,'Analysis'!$G$21/('Analysis'!$C$13*12),'Analysis'!$G$21*(1+'Analysis'!$C$12/12)^-('Analysis'!$C$13*12-B305)*(1-(1+'Analysis'!$C$12/12)^-1)/(1-(1+'Analysis'!$C$12/12)^-('Analysis'!$C$13*12))))</x:f>
        <x:v>537.9023699565523</x:v>
      </x:c>
      <x:c r="H305" s="16" t="n">
        <x:f>IF(B305&gt;='Analysis'!$C$13*12,0,MAX(0,D305-G305))</x:f>
        <x:v>39256.32997649606</x:v>
      </x:c>
    </x:row>
    <x:row r="306" ht="22" customHeight="1">
      <x:c r="A306" s="2"/>
      <x:c r="B306" s="41" t="n">
        <x:f>301</x:f>
        <x:v>301</x:v>
      </x:c>
      <x:c r="C306" s="41" t="n">
        <x:f>ROUNDUP(B306/12,0)</x:f>
        <x:v>26</x:v>
      </x:c>
      <x:c r="D306" s="16" t="n">
        <x:f>H305</x:f>
        <x:v>39256.32997649606</x:v>
      </x:c>
      <x:c r="E306" s="32" t="n">
        <x:f>IF(B306&gt;'Analysis'!$C$13*12,0,'Analysis'!$G$22)</x:f>
        <x:v>786.6163221218766</x:v>
      </x:c>
      <x:c r="F306" s="32" t="n">
        <x:f>MAX(0,E306-G306)</x:f>
        <x:v>245.3520623530959</x:v>
      </x:c>
      <x:c r="G306" s="16" t="n">
        <x:f>IF(OR('Analysis'!$G$21=0,B306&gt;'Analysis'!$C$13*12),0,IF('Analysis'!$C$12=0,'Analysis'!$G$21/('Analysis'!$C$13*12),'Analysis'!$G$21*(1+'Analysis'!$C$12/12)^-('Analysis'!$C$13*12-B306)*(1-(1+'Analysis'!$C$12/12)^-1)/(1-(1+'Analysis'!$C$12/12)^-('Analysis'!$C$13*12))))</x:f>
        <x:v>541.2642597687807</x:v>
      </x:c>
      <x:c r="H306" s="16" t="n">
        <x:f>IF(B306&gt;='Analysis'!$C$13*12,0,MAX(0,D306-G306))</x:f>
        <x:v>38715.06571672728</x:v>
      </x:c>
    </x:row>
    <x:row r="307" ht="22" customHeight="1">
      <x:c r="A307" s="2"/>
      <x:c r="B307" s="41" t="n">
        <x:f>302</x:f>
        <x:v>302</x:v>
      </x:c>
      <x:c r="C307" s="41" t="n">
        <x:f>ROUNDUP(B307/12,0)</x:f>
        <x:v>26</x:v>
      </x:c>
      <x:c r="D307" s="16" t="n">
        <x:f>H306</x:f>
        <x:v>38715.06571672728</x:v>
      </x:c>
      <x:c r="E307" s="32" t="n">
        <x:f>IF(B307&gt;'Analysis'!$C$13*12,0,'Analysis'!$G$22)</x:f>
        <x:v>786.6163221218766</x:v>
      </x:c>
      <x:c r="F307" s="32" t="n">
        <x:f>MAX(0,E307-G307)</x:f>
        <x:v>241.96916072954093</x:v>
      </x:c>
      <x:c r="G307" s="16" t="n">
        <x:f>IF(OR('Analysis'!$G$21=0,B307&gt;'Analysis'!$C$13*12),0,IF('Analysis'!$C$12=0,'Analysis'!$G$21/('Analysis'!$C$13*12),'Analysis'!$G$21*(1+'Analysis'!$C$12/12)^-('Analysis'!$C$13*12-B307)*(1-(1+'Analysis'!$C$12/12)^-1)/(1-(1+'Analysis'!$C$12/12)^-('Analysis'!$C$13*12))))</x:f>
        <x:v>544.6471613923356</x:v>
      </x:c>
      <x:c r="H307" s="16" t="n">
        <x:f>IF(B307&gt;='Analysis'!$C$13*12,0,MAX(0,D307-G307))</x:f>
        <x:v>38170.418555334945</x:v>
      </x:c>
    </x:row>
    <x:row r="308" ht="22" customHeight="1">
      <x:c r="A308" s="2"/>
      <x:c r="B308" s="41" t="n">
        <x:f>303</x:f>
        <x:v>303</x:v>
      </x:c>
      <x:c r="C308" s="41" t="n">
        <x:f>ROUNDUP(B308/12,0)</x:f>
        <x:v>26</x:v>
      </x:c>
      <x:c r="D308" s="16" t="n">
        <x:f>H307</x:f>
        <x:v>38170.418555334945</x:v>
      </x:c>
      <x:c r="E308" s="32" t="n">
        <x:f>IF(B308&gt;'Analysis'!$C$13*12,0,'Analysis'!$G$22)</x:f>
        <x:v>786.6163221218766</x:v>
      </x:c>
      <x:c r="F308" s="32" t="n">
        <x:f>MAX(0,E308-G308)</x:f>
        <x:v>238.56511597083875</x:v>
      </x:c>
      <x:c r="G308" s="16" t="n">
        <x:f>IF(OR('Analysis'!$G$21=0,B308&gt;'Analysis'!$C$13*12),0,IF('Analysis'!$C$12=0,'Analysis'!$G$21/('Analysis'!$C$13*12),'Analysis'!$G$21*(1+'Analysis'!$C$12/12)^-('Analysis'!$C$13*12-B308)*(1-(1+'Analysis'!$C$12/12)^-1)/(1-(1+'Analysis'!$C$12/12)^-('Analysis'!$C$13*12))))</x:f>
        <x:v>548.0512061510378</x:v>
      </x:c>
      <x:c r="H308" s="16" t="n">
        <x:f>IF(B308&gt;='Analysis'!$C$13*12,0,MAX(0,D308-G308))</x:f>
        <x:v>37622.36734918391</x:v>
      </x:c>
    </x:row>
    <x:row r="309" ht="22" customHeight="1">
      <x:c r="A309" s="2"/>
      <x:c r="B309" s="41" t="n">
        <x:f>304</x:f>
        <x:v>304</x:v>
      </x:c>
      <x:c r="C309" s="41" t="n">
        <x:f>ROUNDUP(B309/12,0)</x:f>
        <x:v>26</x:v>
      </x:c>
      <x:c r="D309" s="16" t="n">
        <x:f>H308</x:f>
        <x:v>37622.36734918391</x:v>
      </x:c>
      <x:c r="E309" s="32" t="n">
        <x:f>IF(B309&gt;'Analysis'!$C$13*12,0,'Analysis'!$G$22)</x:f>
        <x:v>786.6163221218766</x:v>
      </x:c>
      <x:c r="F309" s="32" t="n">
        <x:f>MAX(0,E309-G309)</x:f>
        <x:v>235.1397959323948</x:v>
      </x:c>
      <x:c r="G309" s="16" t="n">
        <x:f>IF(OR('Analysis'!$G$21=0,B309&gt;'Analysis'!$C$13*12),0,IF('Analysis'!$C$12=0,'Analysis'!$G$21/('Analysis'!$C$13*12),'Analysis'!$G$21*(1+'Analysis'!$C$12/12)^-('Analysis'!$C$13*12-B309)*(1-(1+'Analysis'!$C$12/12)^-1)/(1-(1+'Analysis'!$C$12/12)^-('Analysis'!$C$13*12))))</x:f>
        <x:v>551.4765261894818</x:v>
      </x:c>
      <x:c r="H309" s="16" t="n">
        <x:f>IF(B309&gt;='Analysis'!$C$13*12,0,MAX(0,D309-G309))</x:f>
        <x:v>37070.89082299443</x:v>
      </x:c>
    </x:row>
    <x:row r="310" ht="22" customHeight="1">
      <x:c r="A310" s="2"/>
      <x:c r="B310" s="41" t="n">
        <x:f>305</x:f>
        <x:v>305</x:v>
      </x:c>
      <x:c r="C310" s="41" t="n">
        <x:f>ROUNDUP(B310/12,0)</x:f>
        <x:v>26</x:v>
      </x:c>
      <x:c r="D310" s="16" t="n">
        <x:f>H309</x:f>
        <x:v>37070.89082299443</x:v>
      </x:c>
      <x:c r="E310" s="32" t="n">
        <x:f>IF(B310&gt;'Analysis'!$C$13*12,0,'Analysis'!$G$22)</x:f>
        <x:v>786.6163221218766</x:v>
      </x:c>
      <x:c r="F310" s="32" t="n">
        <x:f>MAX(0,E310-G310)</x:f>
        <x:v>231.69306764371038</x:v>
      </x:c>
      <x:c r="G310" s="16" t="n">
        <x:f>IF(OR('Analysis'!$G$21=0,B310&gt;'Analysis'!$C$13*12),0,IF('Analysis'!$C$12=0,'Analysis'!$G$21/('Analysis'!$C$13*12),'Analysis'!$G$21*(1+'Analysis'!$C$12/12)^-('Analysis'!$C$13*12-B310)*(1-(1+'Analysis'!$C$12/12)^-1)/(1-(1+'Analysis'!$C$12/12)^-('Analysis'!$C$13*12))))</x:f>
        <x:v>554.9232544781662</x:v>
      </x:c>
      <x:c r="H310" s="16" t="n">
        <x:f>IF(B310&gt;='Analysis'!$C$13*12,0,MAX(0,D310-G310))</x:f>
        <x:v>36515.967568516266</x:v>
      </x:c>
    </x:row>
    <x:row r="311" ht="22" customHeight="1">
      <x:c r="A311" s="2"/>
      <x:c r="B311" s="41" t="n">
        <x:f>306</x:f>
        <x:v>306</x:v>
      </x:c>
      <x:c r="C311" s="41" t="n">
        <x:f>ROUNDUP(B311/12,0)</x:f>
        <x:v>26</x:v>
      </x:c>
      <x:c r="D311" s="16" t="n">
        <x:f>H310</x:f>
        <x:v>36515.967568516266</x:v>
      </x:c>
      <x:c r="E311" s="32" t="n">
        <x:f>IF(B311&gt;'Analysis'!$C$13*12,0,'Analysis'!$G$22)</x:f>
        <x:v>786.6163221218766</x:v>
      </x:c>
      <x:c r="F311" s="32" t="n">
        <x:f>MAX(0,E311-G311)</x:f>
        <x:v>228.22479730322186</x:v>
      </x:c>
      <x:c r="G311" s="16" t="n">
        <x:f>IF(OR('Analysis'!$G$21=0,B311&gt;'Analysis'!$C$13*12),0,IF('Analysis'!$C$12=0,'Analysis'!$G$21/('Analysis'!$C$13*12),'Analysis'!$G$21*(1+'Analysis'!$C$12/12)^-('Analysis'!$C$13*12-B311)*(1-(1+'Analysis'!$C$12/12)^-1)/(1-(1+'Analysis'!$C$12/12)^-('Analysis'!$C$13*12))))</x:f>
        <x:v>558.3915248186547</x:v>
      </x:c>
      <x:c r="H311" s="16" t="n">
        <x:f>IF(B311&gt;='Analysis'!$C$13*12,0,MAX(0,D311-G311))</x:f>
        <x:v>35957.57604369761</x:v>
      </x:c>
    </x:row>
    <x:row r="312" ht="22" customHeight="1">
      <x:c r="A312" s="2"/>
      <x:c r="B312" s="41" t="n">
        <x:f>307</x:f>
        <x:v>307</x:v>
      </x:c>
      <x:c r="C312" s="41" t="n">
        <x:f>ROUNDUP(B312/12,0)</x:f>
        <x:v>26</x:v>
      </x:c>
      <x:c r="D312" s="16" t="n">
        <x:f>H311</x:f>
        <x:v>35957.57604369761</x:v>
      </x:c>
      <x:c r="E312" s="32" t="n">
        <x:f>IF(B312&gt;'Analysis'!$C$13*12,0,'Analysis'!$G$22)</x:f>
        <x:v>786.6163221218766</x:v>
      </x:c>
      <x:c r="F312" s="32" t="n">
        <x:f>MAX(0,E312-G312)</x:f>
        <x:v>224.73485027310528</x:v>
      </x:c>
      <x:c r="G312" s="16" t="n">
        <x:f>IF(OR('Analysis'!$G$21=0,B312&gt;'Analysis'!$C$13*12),0,IF('Analysis'!$C$12=0,'Analysis'!$G$21/('Analysis'!$C$13*12),'Analysis'!$G$21*(1+'Analysis'!$C$12/12)^-('Analysis'!$C$13*12-B312)*(1-(1+'Analysis'!$C$12/12)^-1)/(1-(1+'Analysis'!$C$12/12)^-('Analysis'!$C$13*12))))</x:f>
        <x:v>561.8814718487713</x:v>
      </x:c>
      <x:c r="H312" s="16" t="n">
        <x:f>IF(B312&gt;='Analysis'!$C$13*12,0,MAX(0,D312-G312))</x:f>
        <x:v>35395.69457184884</x:v>
      </x:c>
    </x:row>
    <x:row r="313" ht="22" customHeight="1">
      <x:c r="A313" s="2"/>
      <x:c r="B313" s="41" t="n">
        <x:f>308</x:f>
        <x:v>308</x:v>
      </x:c>
      <x:c r="C313" s="41" t="n">
        <x:f>ROUNDUP(B313/12,0)</x:f>
        <x:v>26</x:v>
      </x:c>
      <x:c r="D313" s="16" t="n">
        <x:f>H312</x:f>
        <x:v>35395.69457184884</x:v>
      </x:c>
      <x:c r="E313" s="32" t="n">
        <x:f>IF(B313&gt;'Analysis'!$C$13*12,0,'Analysis'!$G$22)</x:f>
        <x:v>786.6163221218766</x:v>
      </x:c>
      <x:c r="F313" s="32" t="n">
        <x:f>MAX(0,E313-G313)</x:f>
        <x:v>221.22309107405033</x:v>
      </x:c>
      <x:c r="G313" s="16" t="n">
        <x:f>IF(OR('Analysis'!$G$21=0,B313&gt;'Analysis'!$C$13*12),0,IF('Analysis'!$C$12=0,'Analysis'!$G$21/('Analysis'!$C$13*12),'Analysis'!$G$21*(1+'Analysis'!$C$12/12)^-('Analysis'!$C$13*12-B313)*(1-(1+'Analysis'!$C$12/12)^-1)/(1-(1+'Analysis'!$C$12/12)^-('Analysis'!$C$13*12))))</x:f>
        <x:v>565.3932310478262</x:v>
      </x:c>
      <x:c r="H313" s="16" t="n">
        <x:f>IF(B313&gt;='Analysis'!$C$13*12,0,MAX(0,D313-G313))</x:f>
        <x:v>34830.301340801016</x:v>
      </x:c>
    </x:row>
    <x:row r="314" ht="22" customHeight="1">
      <x:c r="A314" s="2"/>
      <x:c r="B314" s="41" t="n">
        <x:f>309</x:f>
        <x:v>309</x:v>
      </x:c>
      <x:c r="C314" s="41" t="n">
        <x:f>ROUNDUP(B314/12,0)</x:f>
        <x:v>26</x:v>
      </x:c>
      <x:c r="D314" s="16" t="n">
        <x:f>H313</x:f>
        <x:v>34830.301340801016</x:v>
      </x:c>
      <x:c r="E314" s="32" t="n">
        <x:f>IF(B314&gt;'Analysis'!$C$13*12,0,'Analysis'!$G$22)</x:f>
        <x:v>786.6163221218766</x:v>
      </x:c>
      <x:c r="F314" s="32" t="n">
        <x:f>MAX(0,E314-G314)</x:f>
        <x:v>217.68938338000135</x:v>
      </x:c>
      <x:c r="G314" s="16" t="n">
        <x:f>IF(OR('Analysis'!$G$21=0,B314&gt;'Analysis'!$C$13*12),0,IF('Analysis'!$C$12=0,'Analysis'!$G$21/('Analysis'!$C$13*12),'Analysis'!$G$21*(1+'Analysis'!$C$12/12)^-('Analysis'!$C$13*12-B314)*(1-(1+'Analysis'!$C$12/12)^-1)/(1-(1+'Analysis'!$C$12/12)^-('Analysis'!$C$13*12))))</x:f>
        <x:v>568.9269387418752</x:v>
      </x:c>
      <x:c r="H314" s="16" t="n">
        <x:f>IF(B314&gt;='Analysis'!$C$13*12,0,MAX(0,D314-G314))</x:f>
        <x:v>34261.37440205914</x:v>
      </x:c>
    </x:row>
    <x:row r="315" ht="22" customHeight="1">
      <x:c r="A315" s="2"/>
      <x:c r="B315" s="41" t="n">
        <x:f>310</x:f>
        <x:v>310</x:v>
      </x:c>
      <x:c r="C315" s="41" t="n">
        <x:f>ROUNDUP(B315/12,0)</x:f>
        <x:v>26</x:v>
      </x:c>
      <x:c r="D315" s="16" t="n">
        <x:f>H314</x:f>
        <x:v>34261.37440205914</x:v>
      </x:c>
      <x:c r="E315" s="32" t="n">
        <x:f>IF(B315&gt;'Analysis'!$C$13*12,0,'Analysis'!$G$22)</x:f>
        <x:v>786.6163221218766</x:v>
      </x:c>
      <x:c r="F315" s="32" t="n">
        <x:f>MAX(0,E315-G315)</x:f>
        <x:v>214.1335900128646</x:v>
      </x:c>
      <x:c r="G315" s="16" t="n">
        <x:f>IF(OR('Analysis'!$G$21=0,B315&gt;'Analysis'!$C$13*12),0,IF('Analysis'!$C$12=0,'Analysis'!$G$21/('Analysis'!$C$13*12),'Analysis'!$G$21*(1+'Analysis'!$C$12/12)^-('Analysis'!$C$13*12-B315)*(1-(1+'Analysis'!$C$12/12)^-1)/(1-(1+'Analysis'!$C$12/12)^-('Analysis'!$C$13*12))))</x:f>
        <x:v>572.482732109012</x:v>
      </x:c>
      <x:c r="H315" s="16" t="n">
        <x:f>IF(B315&gt;='Analysis'!$C$13*12,0,MAX(0,D315-G315))</x:f>
        <x:v>33688.89166995013</x:v>
      </x:c>
    </x:row>
    <x:row r="316" ht="22" customHeight="1">
      <x:c r="A316" s="2"/>
      <x:c r="B316" s="41" t="n">
        <x:f>311</x:f>
        <x:v>311</x:v>
      </x:c>
      <x:c r="C316" s="41" t="n">
        <x:f>ROUNDUP(B316/12,0)</x:f>
        <x:v>26</x:v>
      </x:c>
      <x:c r="D316" s="16" t="n">
        <x:f>H315</x:f>
        <x:v>33688.89166995013</x:v>
      </x:c>
      <x:c r="E316" s="32" t="n">
        <x:f>IF(B316&gt;'Analysis'!$C$13*12,0,'Analysis'!$G$22)</x:f>
        <x:v>786.6163221218766</x:v>
      </x:c>
      <x:c r="F316" s="32" t="n">
        <x:f>MAX(0,E316-G316)</x:f>
        <x:v>210.55557293718323</x:v>
      </x:c>
      <x:c r="G316" s="16" t="n">
        <x:f>IF(OR('Analysis'!$G$21=0,B316&gt;'Analysis'!$C$13*12),0,IF('Analysis'!$C$12=0,'Analysis'!$G$21/('Analysis'!$C$13*12),'Analysis'!$G$21*(1+'Analysis'!$C$12/12)^-('Analysis'!$C$13*12-B316)*(1-(1+'Analysis'!$C$12/12)^-1)/(1-(1+'Analysis'!$C$12/12)^-('Analysis'!$C$13*12))))</x:f>
        <x:v>576.0607491846933</x:v>
      </x:c>
      <x:c r="H316" s="16" t="n">
        <x:f>IF(B316&gt;='Analysis'!$C$13*12,0,MAX(0,D316-G316))</x:f>
        <x:v>33112.83092076543</x:v>
      </x:c>
    </x:row>
    <x:row r="317" ht="22" customHeight="1">
      <x:c r="A317" s="2"/>
      <x:c r="B317" s="41" t="n">
        <x:f>312</x:f>
        <x:v>312</x:v>
      </x:c>
      <x:c r="C317" s="41" t="n">
        <x:f>ROUNDUP(B317/12,0)</x:f>
        <x:v>26</x:v>
      </x:c>
      <x:c r="D317" s="16" t="n">
        <x:f>H316</x:f>
        <x:v>33112.83092076543</x:v>
      </x:c>
      <x:c r="E317" s="32" t="n">
        <x:f>IF(B317&gt;'Analysis'!$C$13*12,0,'Analysis'!$G$22)</x:f>
        <x:v>786.6163221218766</x:v>
      </x:c>
      <x:c r="F317" s="32" t="n">
        <x:f>MAX(0,E317-G317)</x:f>
        <x:v>206.9551932547788</x:v>
      </x:c>
      <x:c r="G317" s="16" t="n">
        <x:f>IF(OR('Analysis'!$G$21=0,B317&gt;'Analysis'!$C$13*12),0,IF('Analysis'!$C$12=0,'Analysis'!$G$21/('Analysis'!$C$13*12),'Analysis'!$G$21*(1+'Analysis'!$C$12/12)^-('Analysis'!$C$13*12-B317)*(1-(1+'Analysis'!$C$12/12)^-1)/(1-(1+'Analysis'!$C$12/12)^-('Analysis'!$C$13*12))))</x:f>
        <x:v>579.6611288670978</x:v>
      </x:c>
      <x:c r="H317" s="16" t="n">
        <x:f>IF(B317&gt;='Analysis'!$C$13*12,0,MAX(0,D317-G317))</x:f>
        <x:v>32533.169791898334</x:v>
      </x:c>
    </x:row>
    <x:row r="318" ht="22" customHeight="1">
      <x:c r="A318" s="2"/>
      <x:c r="B318" s="41" t="n">
        <x:f>313</x:f>
        <x:v>313</x:v>
      </x:c>
      <x:c r="C318" s="41" t="n">
        <x:f>ROUNDUP(B318/12,0)</x:f>
        <x:v>27</x:v>
      </x:c>
      <x:c r="D318" s="16" t="n">
        <x:f>H317</x:f>
        <x:v>32533.169791898334</x:v>
      </x:c>
      <x:c r="E318" s="32" t="n">
        <x:f>IF(B318&gt;'Analysis'!$C$13*12,0,'Analysis'!$G$22)</x:f>
        <x:v>786.6163221218766</x:v>
      </x:c>
      <x:c r="F318" s="32" t="n">
        <x:f>MAX(0,E318-G318)</x:f>
        <x:v>203.33231119935942</x:v>
      </x:c>
      <x:c r="G318" s="16" t="n">
        <x:f>IF(OR('Analysis'!$G$21=0,B318&gt;'Analysis'!$C$13*12),0,IF('Analysis'!$C$12=0,'Analysis'!$G$21/('Analysis'!$C$13*12),'Analysis'!$G$21*(1+'Analysis'!$C$12/12)^-('Analysis'!$C$13*12-B318)*(1-(1+'Analysis'!$C$12/12)^-1)/(1-(1+'Analysis'!$C$12/12)^-('Analysis'!$C$13*12))))</x:f>
        <x:v>583.2840109225172</x:v>
      </x:c>
      <x:c r="H318" s="16" t="n">
        <x:f>IF(B318&gt;='Analysis'!$C$13*12,0,MAX(0,D318-G318))</x:f>
        <x:v>31949.885780975816</x:v>
      </x:c>
    </x:row>
    <x:row r="319" ht="22" customHeight="1">
      <x:c r="A319" s="2"/>
      <x:c r="B319" s="41" t="n">
        <x:f>314</x:f>
        <x:v>314</x:v>
      </x:c>
      <x:c r="C319" s="41" t="n">
        <x:f>ROUNDUP(B319/12,0)</x:f>
        <x:v>27</x:v>
      </x:c>
      <x:c r="D319" s="16" t="n">
        <x:f>H318</x:f>
        <x:v>31949.885780975816</x:v>
      </x:c>
      <x:c r="E319" s="32" t="n">
        <x:f>IF(B319&gt;'Analysis'!$C$13*12,0,'Analysis'!$G$22)</x:f>
        <x:v>786.6163221218766</x:v>
      </x:c>
      <x:c r="F319" s="32" t="n">
        <x:f>MAX(0,E319-G319)</x:f>
        <x:v>199.68678613109375</x:v>
      </x:c>
      <x:c r="G319" s="16" t="n">
        <x:f>IF(OR('Analysis'!$G$21=0,B319&gt;'Analysis'!$C$13*12),0,IF('Analysis'!$C$12=0,'Analysis'!$G$21/('Analysis'!$C$13*12),'Analysis'!$G$21*(1+'Analysis'!$C$12/12)^-('Analysis'!$C$13*12-B319)*(1-(1+'Analysis'!$C$12/12)^-1)/(1-(1+'Analysis'!$C$12/12)^-('Analysis'!$C$13*12))))</x:f>
        <x:v>586.9295359907828</x:v>
      </x:c>
      <x:c r="H319" s="16" t="n">
        <x:f>IF(B319&gt;='Analysis'!$C$13*12,0,MAX(0,D319-G319))</x:f>
        <x:v>31362.956244985035</x:v>
      </x:c>
    </x:row>
    <x:row r="320" ht="22" customHeight="1">
      <x:c r="A320" s="2"/>
      <x:c r="B320" s="41" t="n">
        <x:f>315</x:f>
        <x:v>315</x:v>
      </x:c>
      <x:c r="C320" s="41" t="n">
        <x:f>ROUNDUP(B320/12,0)</x:f>
        <x:v>27</x:v>
      </x:c>
      <x:c r="D320" s="16" t="n">
        <x:f>H319</x:f>
        <x:v>31362.956244985035</x:v>
      </x:c>
      <x:c r="E320" s="32" t="n">
        <x:f>IF(B320&gt;'Analysis'!$C$13*12,0,'Analysis'!$G$22)</x:f>
        <x:v>786.6163221218766</x:v>
      </x:c>
      <x:c r="F320" s="32" t="n">
        <x:f>MAX(0,E320-G320)</x:f>
        <x:v>196.01847653115124</x:v>
      </x:c>
      <x:c r="G320" s="16" t="n">
        <x:f>IF(OR('Analysis'!$G$21=0,B320&gt;'Analysis'!$C$13*12),0,IF('Analysis'!$C$12=0,'Analysis'!$G$21/('Analysis'!$C$13*12),'Analysis'!$G$21*(1+'Analysis'!$C$12/12)^-('Analysis'!$C$13*12-B320)*(1-(1+'Analysis'!$C$12/12)^-1)/(1-(1+'Analysis'!$C$12/12)^-('Analysis'!$C$13*12))))</x:f>
        <x:v>590.5978455907253</x:v>
      </x:c>
      <x:c r="H320" s="16" t="n">
        <x:f>IF(B320&gt;='Analysis'!$C$13*12,0,MAX(0,D320-G320))</x:f>
        <x:v>30772.35839939431</x:v>
      </x:c>
    </x:row>
    <x:row r="321" ht="22" customHeight="1">
      <x:c r="A321" s="2"/>
      <x:c r="B321" s="41" t="n">
        <x:f>316</x:f>
        <x:v>316</x:v>
      </x:c>
      <x:c r="C321" s="41" t="n">
        <x:f>ROUNDUP(B321/12,0)</x:f>
        <x:v>27</x:v>
      </x:c>
      <x:c r="D321" s="16" t="n">
        <x:f>H320</x:f>
        <x:v>30772.35839939431</x:v>
      </x:c>
      <x:c r="E321" s="32" t="n">
        <x:f>IF(B321&gt;'Analysis'!$C$13*12,0,'Analysis'!$G$22)</x:f>
        <x:v>786.6163221218766</x:v>
      </x:c>
      <x:c r="F321" s="32" t="n">
        <x:f>MAX(0,E321-G321)</x:f>
        <x:v>192.3272399962092</x:v>
      </x:c>
      <x:c r="G321" s="16" t="n">
        <x:f>IF(OR('Analysis'!$G$21=0,B321&gt;'Analysis'!$C$13*12),0,IF('Analysis'!$C$12=0,'Analysis'!$G$21/('Analysis'!$C$13*12),'Analysis'!$G$21*(1+'Analysis'!$C$12/12)^-('Analysis'!$C$13*12-B321)*(1-(1+'Analysis'!$C$12/12)^-1)/(1-(1+'Analysis'!$C$12/12)^-('Analysis'!$C$13*12))))</x:f>
        <x:v>594.2890821256674</x:v>
      </x:c>
      <x:c r="H321" s="16" t="n">
        <x:f>IF(B321&gt;='Analysis'!$C$13*12,0,MAX(0,D321-G321))</x:f>
        <x:v>30178.069317268644</x:v>
      </x:c>
    </x:row>
    <x:row r="322" ht="22" customHeight="1">
      <x:c r="A322" s="2"/>
      <x:c r="B322" s="41" t="n">
        <x:f>317</x:f>
        <x:v>317</x:v>
      </x:c>
      <x:c r="C322" s="41" t="n">
        <x:f>ROUNDUP(B322/12,0)</x:f>
        <x:v>27</x:v>
      </x:c>
      <x:c r="D322" s="16" t="n">
        <x:f>H321</x:f>
        <x:v>30178.069317268644</x:v>
      </x:c>
      <x:c r="E322" s="32" t="n">
        <x:f>IF(B322&gt;'Analysis'!$C$13*12,0,'Analysis'!$G$22)</x:f>
        <x:v>786.6163221218766</x:v>
      </x:c>
      <x:c r="F322" s="32" t="n">
        <x:f>MAX(0,E322-G322)</x:f>
        <x:v>188.61293323292352</x:v>
      </x:c>
      <x:c r="G322" s="16" t="n">
        <x:f>IF(OR('Analysis'!$G$21=0,B322&gt;'Analysis'!$C$13*12),0,IF('Analysis'!$C$12=0,'Analysis'!$G$21/('Analysis'!$C$13*12),'Analysis'!$G$21*(1+'Analysis'!$C$12/12)^-('Analysis'!$C$13*12-B322)*(1-(1+'Analysis'!$C$12/12)^-1)/(1-(1+'Analysis'!$C$12/12)^-('Analysis'!$C$13*12))))</x:f>
        <x:v>598.003388888953</x:v>
      </x:c>
      <x:c r="H322" s="16" t="n">
        <x:f>IF(B322&gt;='Analysis'!$C$13*12,0,MAX(0,D322-G322))</x:f>
        <x:v>29580.065928379692</x:v>
      </x:c>
    </x:row>
    <x:row r="323" ht="22" customHeight="1">
      <x:c r="A323" s="2"/>
      <x:c r="B323" s="41" t="n">
        <x:f>318</x:f>
        <x:v>318</x:v>
      </x:c>
      <x:c r="C323" s="41" t="n">
        <x:f>ROUNDUP(B323/12,0)</x:f>
        <x:v>27</x:v>
      </x:c>
      <x:c r="D323" s="16" t="n">
        <x:f>H322</x:f>
        <x:v>29580.065928379692</x:v>
      </x:c>
      <x:c r="E323" s="32" t="n">
        <x:f>IF(B323&gt;'Analysis'!$C$13*12,0,'Analysis'!$G$22)</x:f>
        <x:v>786.6163221218766</x:v>
      </x:c>
      <x:c r="F323" s="32" t="n">
        <x:f>MAX(0,E323-G323)</x:f>
        <x:v>184.87541205236766</x:v>
      </x:c>
      <x:c r="G323" s="16" t="n">
        <x:f>IF(OR('Analysis'!$G$21=0,B323&gt;'Analysis'!$C$13*12),0,IF('Analysis'!$C$12=0,'Analysis'!$G$21/('Analysis'!$C$13*12),'Analysis'!$G$21*(1+'Analysis'!$C$12/12)^-('Analysis'!$C$13*12-B323)*(1-(1+'Analysis'!$C$12/12)^-1)/(1-(1+'Analysis'!$C$12/12)^-('Analysis'!$C$13*12))))</x:f>
        <x:v>601.7409100695089</x:v>
      </x:c>
      <x:c r="H323" s="16" t="n">
        <x:f>IF(B323&gt;='Analysis'!$C$13*12,0,MAX(0,D323-G323))</x:f>
        <x:v>28978.325018310185</x:v>
      </x:c>
    </x:row>
    <x:row r="324" ht="22" customHeight="1">
      <x:c r="A324" s="2"/>
      <x:c r="B324" s="41" t="n">
        <x:f>319</x:f>
        <x:v>319</x:v>
      </x:c>
      <x:c r="C324" s="41" t="n">
        <x:f>ROUNDUP(B324/12,0)</x:f>
        <x:v>27</x:v>
      </x:c>
      <x:c r="D324" s="16" t="n">
        <x:f>H323</x:f>
        <x:v>28978.325018310185</x:v>
      </x:c>
      <x:c r="E324" s="32" t="n">
        <x:f>IF(B324&gt;'Analysis'!$C$13*12,0,'Analysis'!$G$22)</x:f>
        <x:v>786.6163221218766</x:v>
      </x:c>
      <x:c r="F324" s="32" t="n">
        <x:f>MAX(0,E324-G324)</x:f>
        <x:v>181.1145313644331</x:v>
      </x:c>
      <x:c r="G324" s="16" t="n">
        <x:f>IF(OR('Analysis'!$G$21=0,B324&gt;'Analysis'!$C$13*12),0,IF('Analysis'!$C$12=0,'Analysis'!$G$21/('Analysis'!$C$13*12),'Analysis'!$G$21*(1+'Analysis'!$C$12/12)^-('Analysis'!$C$13*12-B324)*(1-(1+'Analysis'!$C$12/12)^-1)/(1-(1+'Analysis'!$C$12/12)^-('Analysis'!$C$13*12))))</x:f>
        <x:v>605.5017907574435</x:v>
      </x:c>
      <x:c r="H324" s="16" t="n">
        <x:f>IF(B324&gt;='Analysis'!$C$13*12,0,MAX(0,D324-G324))</x:f>
        <x:v>28372.82322755274</x:v>
      </x:c>
    </x:row>
    <x:row r="325" ht="22" customHeight="1">
      <x:c r="A325" s="2"/>
      <x:c r="B325" s="41" t="n">
        <x:f>320</x:f>
        <x:v>320</x:v>
      </x:c>
      <x:c r="C325" s="41" t="n">
        <x:f>ROUNDUP(B325/12,0)</x:f>
        <x:v>27</x:v>
      </x:c>
      <x:c r="D325" s="16" t="n">
        <x:f>H324</x:f>
        <x:v>28372.82322755274</x:v>
      </x:c>
      <x:c r="E325" s="32" t="n">
        <x:f>IF(B325&gt;'Analysis'!$C$13*12,0,'Analysis'!$G$22)</x:f>
        <x:v>786.6163221218766</x:v>
      </x:c>
      <x:c r="F325" s="32" t="n">
        <x:f>MAX(0,E325-G325)</x:f>
        <x:v>177.33014517219908</x:v>
      </x:c>
      <x:c r="G325" s="16" t="n">
        <x:f>IF(OR('Analysis'!$G$21=0,B325&gt;'Analysis'!$C$13*12),0,IF('Analysis'!$C$12=0,'Analysis'!$G$21/('Analysis'!$C$13*12),'Analysis'!$G$21*(1+'Analysis'!$C$12/12)^-('Analysis'!$C$13*12-B325)*(1-(1+'Analysis'!$C$12/12)^-1)/(1-(1+'Analysis'!$C$12/12)^-('Analysis'!$C$13*12))))</x:f>
        <x:v>609.2861769496775</x:v>
      </x:c>
      <x:c r="H325" s="16" t="n">
        <x:f>IF(B325&gt;='Analysis'!$C$13*12,0,MAX(0,D325-G325))</x:f>
        <x:v>27763.537050603063</x:v>
      </x:c>
    </x:row>
    <x:row r="326" ht="22" customHeight="1">
      <x:c r="A326" s="2"/>
      <x:c r="B326" s="41" t="n">
        <x:f>321</x:f>
        <x:v>321</x:v>
      </x:c>
      <x:c r="C326" s="41" t="n">
        <x:f>ROUNDUP(B326/12,0)</x:f>
        <x:v>27</x:v>
      </x:c>
      <x:c r="D326" s="16" t="n">
        <x:f>H325</x:f>
        <x:v>27763.537050603063</x:v>
      </x:c>
      <x:c r="E326" s="32" t="n">
        <x:f>IF(B326&gt;'Analysis'!$C$13*12,0,'Analysis'!$G$22)</x:f>
        <x:v>786.6163221218766</x:v>
      </x:c>
      <x:c r="F326" s="32" t="n">
        <x:f>MAX(0,E326-G326)</x:f>
        <x:v>173.52210656626357</x:v>
      </x:c>
      <x:c r="G326" s="16" t="n">
        <x:f>IF(OR('Analysis'!$G$21=0,B326&gt;'Analysis'!$C$13*12),0,IF('Analysis'!$C$12=0,'Analysis'!$G$21/('Analysis'!$C$13*12),'Analysis'!$G$21*(1+'Analysis'!$C$12/12)^-('Analysis'!$C$13*12-B326)*(1-(1+'Analysis'!$C$12/12)^-1)/(1-(1+'Analysis'!$C$12/12)^-('Analysis'!$C$13*12))))</x:f>
        <x:v>613.094215555613</x:v>
      </x:c>
      <x:c r="H326" s="16" t="n">
        <x:f>IF(B326&gt;='Analysis'!$C$13*12,0,MAX(0,D326-G326))</x:f>
        <x:v>27150.44283504745</x:v>
      </x:c>
    </x:row>
    <x:row r="327" ht="22" customHeight="1">
      <x:c r="A327" s="2"/>
      <x:c r="B327" s="41" t="n">
        <x:f>322</x:f>
        <x:v>322</x:v>
      </x:c>
      <x:c r="C327" s="41" t="n">
        <x:f>ROUNDUP(B327/12,0)</x:f>
        <x:v>27</x:v>
      </x:c>
      <x:c r="D327" s="16" t="n">
        <x:f>H326</x:f>
        <x:v>27150.44283504745</x:v>
      </x:c>
      <x:c r="E327" s="32" t="n">
        <x:f>IF(B327&gt;'Analysis'!$C$13*12,0,'Analysis'!$G$22)</x:f>
        <x:v>786.6163221218766</x:v>
      </x:c>
      <x:c r="F327" s="32" t="n">
        <x:f>MAX(0,E327-G327)</x:f>
        <x:v>169.690267719041</x:v>
      </x:c>
      <x:c r="G327" s="16" t="n">
        <x:f>IF(OR('Analysis'!$G$21=0,B327&gt;'Analysis'!$C$13*12),0,IF('Analysis'!$C$12=0,'Analysis'!$G$21/('Analysis'!$C$13*12),'Analysis'!$G$21*(1+'Analysis'!$C$12/12)^-('Analysis'!$C$13*12-B327)*(1-(1+'Analysis'!$C$12/12)^-1)/(1-(1+'Analysis'!$C$12/12)^-('Analysis'!$C$13*12))))</x:f>
        <x:v>616.9260544028356</x:v>
      </x:c>
      <x:c r="H327" s="16" t="n">
        <x:f>IF(B327&gt;='Analysis'!$C$13*12,0,MAX(0,D327-G327))</x:f>
        <x:v>26533.516780644615</x:v>
      </x:c>
    </x:row>
    <x:row r="328" ht="22" customHeight="1">
      <x:c r="A328" s="2"/>
      <x:c r="B328" s="41" t="n">
        <x:f>323</x:f>
        <x:v>323</x:v>
      </x:c>
      <x:c r="C328" s="41" t="n">
        <x:f>ROUNDUP(B328/12,0)</x:f>
        <x:v>27</x:v>
      </x:c>
      <x:c r="D328" s="16" t="n">
        <x:f>H327</x:f>
        <x:v>26533.516780644615</x:v>
      </x:c>
      <x:c r="E328" s="32" t="n">
        <x:f>IF(B328&gt;'Analysis'!$C$13*12,0,'Analysis'!$G$22)</x:f>
        <x:v>786.6163221218766</x:v>
      </x:c>
      <x:c r="F328" s="32" t="n">
        <x:f>MAX(0,E328-G328)</x:f>
        <x:v>165.8344798790231</x:v>
      </x:c>
      <x:c r="G328" s="16" t="n">
        <x:f>IF(OR('Analysis'!$G$21=0,B328&gt;'Analysis'!$C$13*12),0,IF('Analysis'!$C$12=0,'Analysis'!$G$21/('Analysis'!$C$13*12),'Analysis'!$G$21*(1+'Analysis'!$C$12/12)^-('Analysis'!$C$13*12-B328)*(1-(1+'Analysis'!$C$12/12)^-1)/(1-(1+'Analysis'!$C$12/12)^-('Analysis'!$C$13*12))))</x:f>
        <x:v>620.7818422428535</x:v>
      </x:c>
      <x:c r="H328" s="16" t="n">
        <x:f>IF(B328&gt;='Analysis'!$C$13*12,0,MAX(0,D328-G328))</x:f>
        <x:v>25912.73493840176</x:v>
      </x:c>
    </x:row>
    <x:row r="329" ht="22" customHeight="1">
      <x:c r="A329" s="2"/>
      <x:c r="B329" s="41" t="n">
        <x:f>324</x:f>
        <x:v>324</x:v>
      </x:c>
      <x:c r="C329" s="41" t="n">
        <x:f>ROUNDUP(B329/12,0)</x:f>
        <x:v>27</x:v>
      </x:c>
      <x:c r="D329" s="16" t="n">
        <x:f>H328</x:f>
        <x:v>25912.73493840176</x:v>
      </x:c>
      <x:c r="E329" s="32" t="n">
        <x:f>IF(B329&gt;'Analysis'!$C$13*12,0,'Analysis'!$G$22)</x:f>
        <x:v>786.6163221218766</x:v>
      </x:c>
      <x:c r="F329" s="32" t="n">
        <x:f>MAX(0,E329-G329)</x:f>
        <x:v>161.95459336500528</x:v>
      </x:c>
      <x:c r="G329" s="16" t="n">
        <x:f>IF(OR('Analysis'!$G$21=0,B329&gt;'Analysis'!$C$13*12),0,IF('Analysis'!$C$12=0,'Analysis'!$G$21/('Analysis'!$C$13*12),'Analysis'!$G$21*(1+'Analysis'!$C$12/12)^-('Analysis'!$C$13*12-B329)*(1-(1+'Analysis'!$C$12/12)^-1)/(1-(1+'Analysis'!$C$12/12)^-('Analysis'!$C$13*12))))</x:f>
        <x:v>624.6617287568713</x:v>
      </x:c>
      <x:c r="H329" s="16" t="n">
        <x:f>IF(B329&gt;='Analysis'!$C$13*12,0,MAX(0,D329-G329))</x:f>
        <x:v>25288.073209644892</x:v>
      </x:c>
    </x:row>
    <x:row r="330" ht="22" customHeight="1">
      <x:c r="A330" s="2"/>
      <x:c r="B330" s="41" t="n">
        <x:f>325</x:f>
        <x:v>325</x:v>
      </x:c>
      <x:c r="C330" s="41" t="n">
        <x:f>ROUNDUP(B330/12,0)</x:f>
        <x:v>28</x:v>
      </x:c>
      <x:c r="D330" s="16" t="n">
        <x:f>H329</x:f>
        <x:v>25288.073209644892</x:v>
      </x:c>
      <x:c r="E330" s="32" t="n">
        <x:f>IF(B330&gt;'Analysis'!$C$13*12,0,'Analysis'!$G$22)</x:f>
        <x:v>786.6163221218766</x:v>
      </x:c>
      <x:c r="F330" s="32" t="n">
        <x:f>MAX(0,E330-G330)</x:f>
        <x:v>158.0504575602746</x:v>
      </x:c>
      <x:c r="G330" s="16" t="n">
        <x:f>IF(OR('Analysis'!$G$21=0,B330&gt;'Analysis'!$C$13*12),0,IF('Analysis'!$C$12=0,'Analysis'!$G$21/('Analysis'!$C$13*12),'Analysis'!$G$21*(1+'Analysis'!$C$12/12)^-('Analysis'!$C$13*12-B330)*(1-(1+'Analysis'!$C$12/12)^-1)/(1-(1+'Analysis'!$C$12/12)^-('Analysis'!$C$13*12))))</x:f>
        <x:v>628.565864561602</x:v>
      </x:c>
      <x:c r="H330" s="16" t="n">
        <x:f>IF(B330&gt;='Analysis'!$C$13*12,0,MAX(0,D330-G330))</x:f>
        <x:v>24659.50734508329</x:v>
      </x:c>
    </x:row>
    <x:row r="331" ht="22" customHeight="1">
      <x:c r="A331" s="2"/>
      <x:c r="B331" s="41" t="n">
        <x:f>326</x:f>
        <x:v>326</x:v>
      </x:c>
      <x:c r="C331" s="41" t="n">
        <x:f>ROUNDUP(B331/12,0)</x:f>
        <x:v>28</x:v>
      </x:c>
      <x:c r="D331" s="16" t="n">
        <x:f>H330</x:f>
        <x:v>24659.50734508329</x:v>
      </x:c>
      <x:c r="E331" s="32" t="n">
        <x:f>IF(B331&gt;'Analysis'!$C$13*12,0,'Analysis'!$G$22)</x:f>
        <x:v>786.6163221218766</x:v>
      </x:c>
      <x:c r="F331" s="32" t="n">
        <x:f>MAX(0,E331-G331)</x:f>
        <x:v>154.12192090676456</x:v>
      </x:c>
      <x:c r="G331" s="16" t="n">
        <x:f>IF(OR('Analysis'!$G$21=0,B331&gt;'Analysis'!$C$13*12),0,IF('Analysis'!$C$12=0,'Analysis'!$G$21/('Analysis'!$C$13*12),'Analysis'!$G$21*(1+'Analysis'!$C$12/12)^-('Analysis'!$C$13*12-B331)*(1-(1+'Analysis'!$C$12/12)^-1)/(1-(1+'Analysis'!$C$12/12)^-('Analysis'!$C$13*12))))</x:f>
        <x:v>632.494401215112</x:v>
      </x:c>
      <x:c r="H331" s="16" t="n">
        <x:f>IF(B331&gt;='Analysis'!$C$13*12,0,MAX(0,D331-G331))</x:f>
        <x:v>24027.012943868176</x:v>
      </x:c>
    </x:row>
    <x:row r="332" ht="22" customHeight="1">
      <x:c r="A332" s="2"/>
      <x:c r="B332" s="41" t="n">
        <x:f>327</x:f>
        <x:v>327</x:v>
      </x:c>
      <x:c r="C332" s="41" t="n">
        <x:f>ROUNDUP(B332/12,0)</x:f>
        <x:v>28</x:v>
      </x:c>
      <x:c r="D332" s="16" t="n">
        <x:f>H331</x:f>
        <x:v>24027.012943868176</x:v>
      </x:c>
      <x:c r="E332" s="32" t="n">
        <x:f>IF(B332&gt;'Analysis'!$C$13*12,0,'Analysis'!$G$22)</x:f>
        <x:v>786.6163221218766</x:v>
      </x:c>
      <x:c r="F332" s="32" t="n">
        <x:f>MAX(0,E332-G332)</x:f>
        <x:v>150.1688308991702</x:v>
      </x:c>
      <x:c r="G332" s="16" t="n">
        <x:f>IF(OR('Analysis'!$G$21=0,B332&gt;'Analysis'!$C$13*12),0,IF('Analysis'!$C$12=0,'Analysis'!$G$21/('Analysis'!$C$13*12),'Analysis'!$G$21*(1+'Analysis'!$C$12/12)^-('Analysis'!$C$13*12-B332)*(1-(1+'Analysis'!$C$12/12)^-1)/(1-(1+'Analysis'!$C$12/12)^-('Analysis'!$C$13*12))))</x:f>
        <x:v>636.4474912227064</x:v>
      </x:c>
      <x:c r="H332" s="16" t="n">
        <x:f>IF(B332&gt;='Analysis'!$C$13*12,0,MAX(0,D332-G332))</x:f>
        <x:v>23390.56545264547</x:v>
      </x:c>
    </x:row>
    <x:row r="333" ht="22" customHeight="1">
      <x:c r="A333" s="2"/>
      <x:c r="B333" s="41" t="n">
        <x:f>328</x:f>
        <x:v>328</x:v>
      </x:c>
      <x:c r="C333" s="41" t="n">
        <x:f>ROUNDUP(B333/12,0)</x:f>
        <x:v>28</x:v>
      </x:c>
      <x:c r="D333" s="16" t="n">
        <x:f>H332</x:f>
        <x:v>23390.56545264547</x:v>
      </x:c>
      <x:c r="E333" s="32" t="n">
        <x:f>IF(B333&gt;'Analysis'!$C$13*12,0,'Analysis'!$G$22)</x:f>
        <x:v>786.6163221218766</x:v>
      </x:c>
      <x:c r="F333" s="32" t="n">
        <x:f>MAX(0,E333-G333)</x:f>
        <x:v>146.1910340790282</x:v>
      </x:c>
      <x:c r="G333" s="16" t="n">
        <x:f>IF(OR('Analysis'!$G$21=0,B333&gt;'Analysis'!$C$13*12),0,IF('Analysis'!$C$12=0,'Analysis'!$G$21/('Analysis'!$C$13*12),'Analysis'!$G$21*(1+'Analysis'!$C$12/12)^-('Analysis'!$C$13*12-B333)*(1-(1+'Analysis'!$C$12/12)^-1)/(1-(1+'Analysis'!$C$12/12)^-('Analysis'!$C$13*12))))</x:f>
        <x:v>640.4252880428484</x:v>
      </x:c>
      <x:c r="H333" s="16" t="n">
        <x:f>IF(B333&gt;='Analysis'!$C$13*12,0,MAX(0,D333-G333))</x:f>
        <x:v>22750.140164602624</x:v>
      </x:c>
    </x:row>
    <x:row r="334" ht="22" customHeight="1">
      <x:c r="A334" s="2"/>
      <x:c r="B334" s="41" t="n">
        <x:f>329</x:f>
        <x:v>329</x:v>
      </x:c>
      <x:c r="C334" s="41" t="n">
        <x:f>ROUNDUP(B334/12,0)</x:f>
        <x:v>28</x:v>
      </x:c>
      <x:c r="D334" s="16" t="n">
        <x:f>H333</x:f>
        <x:v>22750.140164602624</x:v>
      </x:c>
      <x:c r="E334" s="32" t="n">
        <x:f>IF(B334&gt;'Analysis'!$C$13*12,0,'Analysis'!$G$22)</x:f>
        <x:v>786.6163221218766</x:v>
      </x:c>
      <x:c r="F334" s="32" t="n">
        <x:f>MAX(0,E334-G334)</x:f>
        <x:v>142.18837602876044</x:v>
      </x:c>
      <x:c r="G334" s="16" t="n">
        <x:f>IF(OR('Analysis'!$G$21=0,B334&gt;'Analysis'!$C$13*12),0,IF('Analysis'!$C$12=0,'Analysis'!$G$21/('Analysis'!$C$13*12),'Analysis'!$G$21*(1+'Analysis'!$C$12/12)^-('Analysis'!$C$13*12-B334)*(1-(1+'Analysis'!$C$12/12)^-1)/(1-(1+'Analysis'!$C$12/12)^-('Analysis'!$C$13*12))))</x:f>
        <x:v>644.4279460931161</x:v>
      </x:c>
      <x:c r="H334" s="16" t="n">
        <x:f>IF(B334&gt;='Analysis'!$C$13*12,0,MAX(0,D334-G334))</x:f>
        <x:v>22105.712218509507</x:v>
      </x:c>
    </x:row>
    <x:row r="335" ht="22" customHeight="1">
      <x:c r="A335" s="2"/>
      <x:c r="B335" s="41" t="n">
        <x:f>330</x:f>
        <x:v>330</x:v>
      </x:c>
      <x:c r="C335" s="41" t="n">
        <x:f>ROUNDUP(B335/12,0)</x:f>
        <x:v>28</x:v>
      </x:c>
      <x:c r="D335" s="16" t="n">
        <x:f>H334</x:f>
        <x:v>22105.712218509507</x:v>
      </x:c>
      <x:c r="E335" s="32" t="n">
        <x:f>IF(B335&gt;'Analysis'!$C$13*12,0,'Analysis'!$G$22)</x:f>
        <x:v>786.6163221218766</x:v>
      </x:c>
      <x:c r="F335" s="32" t="n">
        <x:f>MAX(0,E335-G335)</x:f>
        <x:v>138.16070136567828</x:v>
      </x:c>
      <x:c r="G335" s="16" t="n">
        <x:f>IF(OR('Analysis'!$G$21=0,B335&gt;'Analysis'!$C$13*12),0,IF('Analysis'!$C$12=0,'Analysis'!$G$21/('Analysis'!$C$13*12),'Analysis'!$G$21*(1+'Analysis'!$C$12/12)^-('Analysis'!$C$13*12-B335)*(1-(1+'Analysis'!$C$12/12)^-1)/(1-(1+'Analysis'!$C$12/12)^-('Analysis'!$C$13*12))))</x:f>
        <x:v>648.4556207561983</x:v>
      </x:c>
      <x:c r="H335" s="16" t="n">
        <x:f>IF(B335&gt;='Analysis'!$C$13*12,0,MAX(0,D335-G335))</x:f>
        <x:v>21457.25659775331</x:v>
      </x:c>
    </x:row>
    <x:row r="336" ht="22" customHeight="1">
      <x:c r="A336" s="2"/>
      <x:c r="B336" s="41" t="n">
        <x:f>331</x:f>
        <x:v>331</x:v>
      </x:c>
      <x:c r="C336" s="41" t="n">
        <x:f>ROUNDUP(B336/12,0)</x:f>
        <x:v>28</x:v>
      </x:c>
      <x:c r="D336" s="16" t="n">
        <x:f>H335</x:f>
        <x:v>21457.25659775331</x:v>
      </x:c>
      <x:c r="E336" s="32" t="n">
        <x:f>IF(B336&gt;'Analysis'!$C$13*12,0,'Analysis'!$G$22)</x:f>
        <x:v>786.6163221218766</x:v>
      </x:c>
      <x:c r="F336" s="32" t="n">
        <x:f>MAX(0,E336-G336)</x:f>
        <x:v>134.10785373595195</x:v>
      </x:c>
      <x:c r="G336" s="16" t="n">
        <x:f>IF(OR('Analysis'!$G$21=0,B336&gt;'Analysis'!$C$13*12),0,IF('Analysis'!$C$12=0,'Analysis'!$G$21/('Analysis'!$C$13*12),'Analysis'!$G$21*(1+'Analysis'!$C$12/12)^-('Analysis'!$C$13*12-B336)*(1-(1+'Analysis'!$C$12/12)^-1)/(1-(1+'Analysis'!$C$12/12)^-('Analysis'!$C$13*12))))</x:f>
        <x:v>652.5084683859246</x:v>
      </x:c>
      <x:c r="H336" s="16" t="n">
        <x:f>IF(B336&gt;='Analysis'!$C$13*12,0,MAX(0,D336-G336))</x:f>
        <x:v>20804.748129367385</x:v>
      </x:c>
    </x:row>
    <x:row r="337" ht="22" customHeight="1">
      <x:c r="A337" s="2"/>
      <x:c r="B337" s="41" t="n">
        <x:f>332</x:f>
        <x:v>332</x:v>
      </x:c>
      <x:c r="C337" s="41" t="n">
        <x:f>ROUNDUP(B337/12,0)</x:f>
        <x:v>28</x:v>
      </x:c>
      <x:c r="D337" s="16" t="n">
        <x:f>H336</x:f>
        <x:v>20804.748129367385</x:v>
      </x:c>
      <x:c r="E337" s="32" t="n">
        <x:f>IF(B337&gt;'Analysis'!$C$13*12,0,'Analysis'!$G$22)</x:f>
        <x:v>786.6163221218766</x:v>
      </x:c>
      <x:c r="F337" s="32" t="n">
        <x:f>MAX(0,E337-G337)</x:f>
        <x:v>130.02967580853988</x:v>
      </x:c>
      <x:c r="G337" s="16" t="n">
        <x:f>IF(OR('Analysis'!$G$21=0,B337&gt;'Analysis'!$C$13*12),0,IF('Analysis'!$C$12=0,'Analysis'!$G$21/('Analysis'!$C$13*12),'Analysis'!$G$21*(1+'Analysis'!$C$12/12)^-('Analysis'!$C$13*12-B337)*(1-(1+'Analysis'!$C$12/12)^-1)/(1-(1+'Analysis'!$C$12/12)^-('Analysis'!$C$13*12))))</x:f>
        <x:v>656.5866463133367</x:v>
      </x:c>
      <x:c r="H337" s="16" t="n">
        <x:f>IF(B337&gt;='Analysis'!$C$13*12,0,MAX(0,D337-G337))</x:f>
        <x:v>20148.16148305405</x:v>
      </x:c>
    </x:row>
    <x:row r="338" ht="22" customHeight="1">
      <x:c r="A338" s="2"/>
      <x:c r="B338" s="41" t="n">
        <x:f>333</x:f>
        <x:v>333</x:v>
      </x:c>
      <x:c r="C338" s="41" t="n">
        <x:f>ROUNDUP(B338/12,0)</x:f>
        <x:v>28</x:v>
      </x:c>
      <x:c r="D338" s="16" t="n">
        <x:f>H337</x:f>
        <x:v>20148.16148305405</x:v>
      </x:c>
      <x:c r="E338" s="32" t="n">
        <x:f>IF(B338&gt;'Analysis'!$C$13*12,0,'Analysis'!$G$22)</x:f>
        <x:v>786.6163221218766</x:v>
      </x:c>
      <x:c r="F338" s="32" t="n">
        <x:f>MAX(0,E338-G338)</x:f>
        <x:v>125.92600926908142</x:v>
      </x:c>
      <x:c r="G338" s="16" t="n">
        <x:f>IF(OR('Analysis'!$G$21=0,B338&gt;'Analysis'!$C$13*12),0,IF('Analysis'!$C$12=0,'Analysis'!$G$21/('Analysis'!$C$13*12),'Analysis'!$G$21*(1+'Analysis'!$C$12/12)^-('Analysis'!$C$13*12-B338)*(1-(1+'Analysis'!$C$12/12)^-1)/(1-(1+'Analysis'!$C$12/12)^-('Analysis'!$C$13*12))))</x:f>
        <x:v>660.6903128527952</x:v>
      </x:c>
      <x:c r="H338" s="16" t="n">
        <x:f>IF(B338&gt;='Analysis'!$C$13*12,0,MAX(0,D338-G338))</x:f>
        <x:v>19487.471170201254</x:v>
      </x:c>
    </x:row>
    <x:row r="339" ht="22" customHeight="1">
      <x:c r="A339" s="2"/>
      <x:c r="B339" s="41" t="n">
        <x:f>334</x:f>
        <x:v>334</x:v>
      </x:c>
      <x:c r="C339" s="41" t="n">
        <x:f>ROUNDUP(B339/12,0)</x:f>
        <x:v>28</x:v>
      </x:c>
      <x:c r="D339" s="16" t="n">
        <x:f>H338</x:f>
        <x:v>19487.471170201254</x:v>
      </x:c>
      <x:c r="E339" s="32" t="n">
        <x:f>IF(B339&gt;'Analysis'!$C$13*12,0,'Analysis'!$G$22)</x:f>
        <x:v>786.6163221218766</x:v>
      </x:c>
      <x:c r="F339" s="32" t="n">
        <x:f>MAX(0,E339-G339)</x:f>
        <x:v>121.7966948137514</x:v>
      </x:c>
      <x:c r="G339" s="16" t="n">
        <x:f>IF(OR('Analysis'!$G$21=0,B339&gt;'Analysis'!$C$13*12),0,IF('Analysis'!$C$12=0,'Analysis'!$G$21/('Analysis'!$C$13*12),'Analysis'!$G$21*(1+'Analysis'!$C$12/12)^-('Analysis'!$C$13*12-B339)*(1-(1+'Analysis'!$C$12/12)^-1)/(1-(1+'Analysis'!$C$12/12)^-('Analysis'!$C$13*12))))</x:f>
        <x:v>664.8196273081252</x:v>
      </x:c>
      <x:c r="H339" s="16" t="n">
        <x:f>IF(B339&gt;='Analysis'!$C$13*12,0,MAX(0,D339-G339))</x:f>
        <x:v>18822.651542893127</x:v>
      </x:c>
    </x:row>
    <x:row r="340" ht="22" customHeight="1">
      <x:c r="A340" s="2"/>
      <x:c r="B340" s="41" t="n">
        <x:f>335</x:f>
        <x:v>335</x:v>
      </x:c>
      <x:c r="C340" s="41" t="n">
        <x:f>ROUNDUP(B340/12,0)</x:f>
        <x:v>28</x:v>
      </x:c>
      <x:c r="D340" s="16" t="n">
        <x:f>H339</x:f>
        <x:v>18822.651542893127</x:v>
      </x:c>
      <x:c r="E340" s="32" t="n">
        <x:f>IF(B340&gt;'Analysis'!$C$13*12,0,'Analysis'!$G$22)</x:f>
        <x:v>786.6163221218766</x:v>
      </x:c>
      <x:c r="F340" s="32" t="n">
        <x:f>MAX(0,E340-G340)</x:f>
        <x:v>117.64157214307568</x:v>
      </x:c>
      <x:c r="G340" s="16" t="n">
        <x:f>IF(OR('Analysis'!$G$21=0,B340&gt;'Analysis'!$C$13*12),0,IF('Analysis'!$C$12=0,'Analysis'!$G$21/('Analysis'!$C$13*12),'Analysis'!$G$21*(1+'Analysis'!$C$12/12)^-('Analysis'!$C$13*12-B340)*(1-(1+'Analysis'!$C$12/12)^-1)/(1-(1+'Analysis'!$C$12/12)^-('Analysis'!$C$13*12))))</x:f>
        <x:v>668.9747499788009</x:v>
      </x:c>
      <x:c r="H340" s="16" t="n">
        <x:f>IF(B340&gt;='Analysis'!$C$13*12,0,MAX(0,D340-G340))</x:f>
        <x:v>18153.676792914324</x:v>
      </x:c>
    </x:row>
    <x:row r="341" ht="22" customHeight="1">
      <x:c r="A341" s="2"/>
      <x:c r="B341" s="41" t="n">
        <x:f>336</x:f>
        <x:v>336</x:v>
      </x:c>
      <x:c r="C341" s="41" t="n">
        <x:f>ROUNDUP(B341/12,0)</x:f>
        <x:v>28</x:v>
      </x:c>
      <x:c r="D341" s="16" t="n">
        <x:f>H340</x:f>
        <x:v>18153.676792914324</x:v>
      </x:c>
      <x:c r="E341" s="32" t="n">
        <x:f>IF(B341&gt;'Analysis'!$C$13*12,0,'Analysis'!$G$22)</x:f>
        <x:v>786.6163221218766</x:v>
      </x:c>
      <x:c r="F341" s="32" t="n">
        <x:f>MAX(0,E341-G341)</x:f>
        <x:v>113.46047995570814</x:v>
      </x:c>
      <x:c r="G341" s="16" t="n">
        <x:f>IF(OR('Analysis'!$G$21=0,B341&gt;'Analysis'!$C$13*12),0,IF('Analysis'!$C$12=0,'Analysis'!$G$21/('Analysis'!$C$13*12),'Analysis'!$G$21*(1+'Analysis'!$C$12/12)^-('Analysis'!$C$13*12-B341)*(1-(1+'Analysis'!$C$12/12)^-1)/(1-(1+'Analysis'!$C$12/12)^-('Analysis'!$C$13*12))))</x:f>
        <x:v>673.1558421661684</x:v>
      </x:c>
      <x:c r="H341" s="16" t="n">
        <x:f>IF(B341&gt;='Analysis'!$C$13*12,0,MAX(0,D341-G341))</x:f>
        <x:v>17480.520950748156</x:v>
      </x:c>
    </x:row>
    <x:row r="342" ht="22" customHeight="1">
      <x:c r="A342" s="2"/>
      <x:c r="B342" s="41" t="n">
        <x:f>337</x:f>
        <x:v>337</x:v>
      </x:c>
      <x:c r="C342" s="41" t="n">
        <x:f>ROUNDUP(B342/12,0)</x:f>
        <x:v>29</x:v>
      </x:c>
      <x:c r="D342" s="16" t="n">
        <x:f>H341</x:f>
        <x:v>17480.520950748156</x:v>
      </x:c>
      <x:c r="E342" s="32" t="n">
        <x:f>IF(B342&gt;'Analysis'!$C$13*12,0,'Analysis'!$G$22)</x:f>
        <x:v>786.6163221218766</x:v>
      </x:c>
      <x:c r="F342" s="32" t="n">
        <x:f>MAX(0,E342-G342)</x:f>
        <x:v>109.25325594216952</x:v>
      </x:c>
      <x:c r="G342" s="16" t="n">
        <x:f>IF(OR('Analysis'!$G$21=0,B342&gt;'Analysis'!$C$13*12),0,IF('Analysis'!$C$12=0,'Analysis'!$G$21/('Analysis'!$C$13*12),'Analysis'!$G$21*(1+'Analysis'!$C$12/12)^-('Analysis'!$C$13*12-B342)*(1-(1+'Analysis'!$C$12/12)^-1)/(1-(1+'Analysis'!$C$12/12)^-('Analysis'!$C$13*12))))</x:f>
        <x:v>677.3630661797071</x:v>
      </x:c>
      <x:c r="H342" s="16" t="n">
        <x:f>IF(B342&gt;='Analysis'!$C$13*12,0,MAX(0,D342-G342))</x:f>
        <x:v>16803.15788456845</x:v>
      </x:c>
    </x:row>
    <x:row r="343" ht="22" customHeight="1">
      <x:c r="A343" s="2"/>
      <x:c r="B343" s="41" t="n">
        <x:f>338</x:f>
        <x:v>338</x:v>
      </x:c>
      <x:c r="C343" s="41" t="n">
        <x:f>ROUNDUP(B343/12,0)</x:f>
        <x:v>29</x:v>
      </x:c>
      <x:c r="D343" s="16" t="n">
        <x:f>H342</x:f>
        <x:v>16803.15788456845</x:v>
      </x:c>
      <x:c r="E343" s="32" t="n">
        <x:f>IF(B343&gt;'Analysis'!$C$13*12,0,'Analysis'!$G$22)</x:f>
        <x:v>786.6163221218766</x:v>
      </x:c>
      <x:c r="F343" s="32" t="n">
        <x:f>MAX(0,E343-G343)</x:f>
        <x:v>105.0197367785463</x:v>
      </x:c>
      <x:c r="G343" s="16" t="n">
        <x:f>IF(OR('Analysis'!$G$21=0,B343&gt;'Analysis'!$C$13*12),0,IF('Analysis'!$C$12=0,'Analysis'!$G$21/('Analysis'!$C$13*12),'Analysis'!$G$21*(1+'Analysis'!$C$12/12)^-('Analysis'!$C$13*12-B343)*(1-(1+'Analysis'!$C$12/12)^-1)/(1-(1+'Analysis'!$C$12/12)^-('Analysis'!$C$13*12))))</x:f>
        <x:v>681.5965853433303</x:v>
      </x:c>
      <x:c r="H343" s="16" t="n">
        <x:f>IF(B343&gt;='Analysis'!$C$13*12,0,MAX(0,D343-G343))</x:f>
        <x:v>16121.561299225119</x:v>
      </x:c>
    </x:row>
    <x:row r="344" ht="22" customHeight="1">
      <x:c r="A344" s="2"/>
      <x:c r="B344" s="41" t="n">
        <x:f>339</x:f>
        <x:v>339</x:v>
      </x:c>
      <x:c r="C344" s="41" t="n">
        <x:f>ROUNDUP(B344/12,0)</x:f>
        <x:v>29</x:v>
      </x:c>
      <x:c r="D344" s="16" t="n">
        <x:f>H343</x:f>
        <x:v>16121.561299225119</x:v>
      </x:c>
      <x:c r="E344" s="32" t="n">
        <x:f>IF(B344&gt;'Analysis'!$C$13*12,0,'Analysis'!$G$22)</x:f>
        <x:v>786.6163221218766</x:v>
      </x:c>
      <x:c r="F344" s="32" t="n">
        <x:f>MAX(0,E344-G344)</x:f>
        <x:v>100.75975812015031</x:v>
      </x:c>
      <x:c r="G344" s="16" t="n">
        <x:f>IF(OR('Analysis'!$G$21=0,B344&gt;'Analysis'!$C$13*12),0,IF('Analysis'!$C$12=0,'Analysis'!$G$21/('Analysis'!$C$13*12),'Analysis'!$G$21*(1+'Analysis'!$C$12/12)^-('Analysis'!$C$13*12-B344)*(1-(1+'Analysis'!$C$12/12)^-1)/(1-(1+'Analysis'!$C$12/12)^-('Analysis'!$C$13*12))))</x:f>
        <x:v>685.8565640017263</x:v>
      </x:c>
      <x:c r="H344" s="16" t="n">
        <x:f>IF(B344&gt;='Analysis'!$C$13*12,0,MAX(0,D344-G344))</x:f>
        <x:v>15435.704735223393</x:v>
      </x:c>
    </x:row>
    <x:row r="345" ht="22" customHeight="1">
      <x:c r="A345" s="2"/>
      <x:c r="B345" s="41" t="n">
        <x:f>340</x:f>
        <x:v>340</x:v>
      </x:c>
      <x:c r="C345" s="41" t="n">
        <x:f>ROUNDUP(B345/12,0)</x:f>
        <x:v>29</x:v>
      </x:c>
      <x:c r="D345" s="16" t="n">
        <x:f>H344</x:f>
        <x:v>15435.704735223393</x:v>
      </x:c>
      <x:c r="E345" s="32" t="n">
        <x:f>IF(B345&gt;'Analysis'!$C$13*12,0,'Analysis'!$G$22)</x:f>
        <x:v>786.6163221218766</x:v>
      </x:c>
      <x:c r="F345" s="32" t="n">
        <x:f>MAX(0,E345-G345)</x:f>
        <x:v>96.47315459513948</x:v>
      </x:c>
      <x:c r="G345" s="16" t="n">
        <x:f>IF(OR('Analysis'!$G$21=0,B345&gt;'Analysis'!$C$13*12),0,IF('Analysis'!$C$12=0,'Analysis'!$G$21/('Analysis'!$C$13*12),'Analysis'!$G$21*(1+'Analysis'!$C$12/12)^-('Analysis'!$C$13*12-B345)*(1-(1+'Analysis'!$C$12/12)^-1)/(1-(1+'Analysis'!$C$12/12)^-('Analysis'!$C$13*12))))</x:f>
        <x:v>690.1431675267371</x:v>
      </x:c>
      <x:c r="H345" s="16" t="n">
        <x:f>IF(B345&gt;='Analysis'!$C$13*12,0,MAX(0,D345-G345))</x:f>
        <x:v>14745.561567696655</x:v>
      </x:c>
    </x:row>
    <x:row r="346" ht="22" customHeight="1">
      <x:c r="A346" s="2"/>
      <x:c r="B346" s="41" t="n">
        <x:f>341</x:f>
        <x:v>341</x:v>
      </x:c>
      <x:c r="C346" s="41" t="n">
        <x:f>ROUNDUP(B346/12,0)</x:f>
        <x:v>29</x:v>
      </x:c>
      <x:c r="D346" s="16" t="n">
        <x:f>H345</x:f>
        <x:v>14745.561567696655</x:v>
      </x:c>
      <x:c r="E346" s="32" t="n">
        <x:f>IF(B346&gt;'Analysis'!$C$13*12,0,'Analysis'!$G$22)</x:f>
        <x:v>786.6163221218766</x:v>
      </x:c>
      <x:c r="F346" s="32" t="n">
        <x:f>MAX(0,E346-G346)</x:f>
        <x:v>92.15975979809741</x:v>
      </x:c>
      <x:c r="G346" s="16" t="n">
        <x:f>IF(OR('Analysis'!$G$21=0,B346&gt;'Analysis'!$C$13*12),0,IF('Analysis'!$C$12=0,'Analysis'!$G$21/('Analysis'!$C$13*12),'Analysis'!$G$21*(1+'Analysis'!$C$12/12)^-('Analysis'!$C$13*12-B346)*(1-(1+'Analysis'!$C$12/12)^-1)/(1-(1+'Analysis'!$C$12/12)^-('Analysis'!$C$13*12))))</x:f>
        <x:v>694.4565623237792</x:v>
      </x:c>
      <x:c r="H346" s="16" t="n">
        <x:f>IF(B346&gt;='Analysis'!$C$13*12,0,MAX(0,D346-G346))</x:f>
        <x:v>14051.105005372876</x:v>
      </x:c>
    </x:row>
    <x:row r="347" ht="22" customHeight="1">
      <x:c r="A347" s="2"/>
      <x:c r="B347" s="41" t="n">
        <x:f>342</x:f>
        <x:v>342</x:v>
      </x:c>
      <x:c r="C347" s="41" t="n">
        <x:f>ROUNDUP(B347/12,0)</x:f>
        <x:v>29</x:v>
      </x:c>
      <x:c r="D347" s="16" t="n">
        <x:f>H346</x:f>
        <x:v>14051.105005372876</x:v>
      </x:c>
      <x:c r="E347" s="32" t="n">
        <x:f>IF(B347&gt;'Analysis'!$C$13*12,0,'Analysis'!$G$22)</x:f>
        <x:v>786.6163221218766</x:v>
      </x:c>
      <x:c r="F347" s="32" t="n">
        <x:f>MAX(0,E347-G347)</x:f>
        <x:v>87.8194062835737</x:v>
      </x:c>
      <x:c r="G347" s="16" t="n">
        <x:f>IF(OR('Analysis'!$G$21=0,B347&gt;'Analysis'!$C$13*12),0,IF('Analysis'!$C$12=0,'Analysis'!$G$21/('Analysis'!$C$13*12),'Analysis'!$G$21*(1+'Analysis'!$C$12/12)^-('Analysis'!$C$13*12-B347)*(1-(1+'Analysis'!$C$12/12)^-1)/(1-(1+'Analysis'!$C$12/12)^-('Analysis'!$C$13*12))))</x:f>
        <x:v>698.7969158383029</x:v>
      </x:c>
      <x:c r="H347" s="16" t="n">
        <x:f>IF(B347&gt;='Analysis'!$C$13*12,0,MAX(0,D347-G347))</x:f>
        <x:v>13352.308089534574</x:v>
      </x:c>
    </x:row>
    <x:row r="348" ht="22" customHeight="1">
      <x:c r="A348" s="2"/>
      <x:c r="B348" s="41" t="n">
        <x:f>343</x:f>
        <x:v>343</x:v>
      </x:c>
      <x:c r="C348" s="41" t="n">
        <x:f>ROUNDUP(B348/12,0)</x:f>
        <x:v>29</x:v>
      </x:c>
      <x:c r="D348" s="16" t="n">
        <x:f>H347</x:f>
        <x:v>13352.308089534574</x:v>
      </x:c>
      <x:c r="E348" s="32" t="n">
        <x:f>IF(B348&gt;'Analysis'!$C$13*12,0,'Analysis'!$G$22)</x:f>
        <x:v>786.6163221218766</x:v>
      </x:c>
      <x:c r="F348" s="32" t="n">
        <x:f>MAX(0,E348-G348)</x:f>
        <x:v>83.4519255595842</x:v>
      </x:c>
      <x:c r="G348" s="16" t="n">
        <x:f>IF(OR('Analysis'!$G$21=0,B348&gt;'Analysis'!$C$13*12),0,IF('Analysis'!$C$12=0,'Analysis'!$G$21/('Analysis'!$C$13*12),'Analysis'!$G$21*(1+'Analysis'!$C$12/12)^-('Analysis'!$C$13*12-B348)*(1-(1+'Analysis'!$C$12/12)^-1)/(1-(1+'Analysis'!$C$12/12)^-('Analysis'!$C$13*12))))</x:f>
        <x:v>703.1643965622924</x:v>
      </x:c>
      <x:c r="H348" s="16" t="n">
        <x:f>IF(B348&gt;='Analysis'!$C$13*12,0,MAX(0,D348-G348))</x:f>
        <x:v>12649.143692972282</x:v>
      </x:c>
    </x:row>
    <x:row r="349" ht="22" customHeight="1">
      <x:c r="A349" s="2"/>
      <x:c r="B349" s="41" t="n">
        <x:f>344</x:f>
        <x:v>344</x:v>
      </x:c>
      <x:c r="C349" s="41" t="n">
        <x:f>ROUNDUP(B349/12,0)</x:f>
        <x:v>29</x:v>
      </x:c>
      <x:c r="D349" s="16" t="n">
        <x:f>H348</x:f>
        <x:v>12649.143692972282</x:v>
      </x:c>
      <x:c r="E349" s="32" t="n">
        <x:f>IF(B349&gt;'Analysis'!$C$13*12,0,'Analysis'!$G$22)</x:f>
        <x:v>786.6163221218766</x:v>
      </x:c>
      <x:c r="F349" s="32" t="n">
        <x:f>MAX(0,E349-G349)</x:f>
        <x:v>79.05714808106984</x:v>
      </x:c>
      <x:c r="G349" s="16" t="n">
        <x:f>IF(OR('Analysis'!$G$21=0,B349&gt;'Analysis'!$C$13*12),0,IF('Analysis'!$C$12=0,'Analysis'!$G$21/('Analysis'!$C$13*12),'Analysis'!$G$21*(1+'Analysis'!$C$12/12)^-('Analysis'!$C$13*12-B349)*(1-(1+'Analysis'!$C$12/12)^-1)/(1-(1+'Analysis'!$C$12/12)^-('Analysis'!$C$13*12))))</x:f>
        <x:v>707.5591740408067</x:v>
      </x:c>
      <x:c r="H349" s="16" t="n">
        <x:f>IF(B349&gt;='Analysis'!$C$13*12,0,MAX(0,D349-G349))</x:f>
        <x:v>11941.584518931475</x:v>
      </x:c>
    </x:row>
    <x:row r="350" ht="22" customHeight="1">
      <x:c r="A350" s="2"/>
      <x:c r="B350" s="41" t="n">
        <x:f>345</x:f>
        <x:v>345</x:v>
      </x:c>
      <x:c r="C350" s="41" t="n">
        <x:f>ROUNDUP(B350/12,0)</x:f>
        <x:v>29</x:v>
      </x:c>
      <x:c r="D350" s="16" t="n">
        <x:f>H349</x:f>
        <x:v>11941.584518931475</x:v>
      </x:c>
      <x:c r="E350" s="32" t="n">
        <x:f>IF(B350&gt;'Analysis'!$C$13*12,0,'Analysis'!$G$22)</x:f>
        <x:v>786.6163221218766</x:v>
      </x:c>
      <x:c r="F350" s="32" t="n">
        <x:f>MAX(0,E350-G350)</x:f>
        <x:v>74.63490324331485</x:v>
      </x:c>
      <x:c r="G350" s="16" t="n">
        <x:f>IF(OR('Analysis'!$G$21=0,B350&gt;'Analysis'!$C$13*12),0,IF('Analysis'!$C$12=0,'Analysis'!$G$21/('Analysis'!$C$13*12),'Analysis'!$G$21*(1+'Analysis'!$C$12/12)^-('Analysis'!$C$13*12-B350)*(1-(1+'Analysis'!$C$12/12)^-1)/(1-(1+'Analysis'!$C$12/12)^-('Analysis'!$C$13*12))))</x:f>
        <x:v>711.9814188785617</x:v>
      </x:c>
      <x:c r="H350" s="16" t="n">
        <x:f>IF(B350&gt;='Analysis'!$C$13*12,0,MAX(0,D350-G350))</x:f>
        <x:v>11229.603100052913</x:v>
      </x:c>
    </x:row>
    <x:row r="351" ht="22" customHeight="1">
      <x:c r="A351" s="2"/>
      <x:c r="B351" s="41" t="n">
        <x:f>346</x:f>
        <x:v>346</x:v>
      </x:c>
      <x:c r="C351" s="41" t="n">
        <x:f>ROUNDUP(B351/12,0)</x:f>
        <x:v>29</x:v>
      </x:c>
      <x:c r="D351" s="16" t="n">
        <x:f>H350</x:f>
        <x:v>11229.603100052913</x:v>
      </x:c>
      <x:c r="E351" s="32" t="n">
        <x:f>IF(B351&gt;'Analysis'!$C$13*12,0,'Analysis'!$G$22)</x:f>
        <x:v>786.6163221218766</x:v>
      </x:c>
      <x:c r="F351" s="32" t="n">
        <x:f>MAX(0,E351-G351)</x:f>
        <x:v>70.18501937532358</x:v>
      </x:c>
      <x:c r="G351" s="16" t="n">
        <x:f>IF(OR('Analysis'!$G$21=0,B351&gt;'Analysis'!$C$13*12),0,IF('Analysis'!$C$12=0,'Analysis'!$G$21/('Analysis'!$C$13*12),'Analysis'!$G$21*(1+'Analysis'!$C$12/12)^-('Analysis'!$C$13*12-B351)*(1-(1+'Analysis'!$C$12/12)^-1)/(1-(1+'Analysis'!$C$12/12)^-('Analysis'!$C$13*12))))</x:f>
        <x:v>716.431302746553</x:v>
      </x:c>
      <x:c r="H351" s="16" t="n">
        <x:f>IF(B351&gt;='Analysis'!$C$13*12,0,MAX(0,D351-G351))</x:f>
        <x:v>10513.17179730636</x:v>
      </x:c>
    </x:row>
    <x:row r="352" ht="22" customHeight="1">
      <x:c r="A352" s="2"/>
      <x:c r="B352" s="41" t="n">
        <x:f>347</x:f>
        <x:v>347</x:v>
      </x:c>
      <x:c r="C352" s="41" t="n">
        <x:f>ROUNDUP(B352/12,0)</x:f>
        <x:v>29</x:v>
      </x:c>
      <x:c r="D352" s="16" t="n">
        <x:f>H351</x:f>
        <x:v>10513.17179730636</x:v>
      </x:c>
      <x:c r="E352" s="32" t="n">
        <x:f>IF(B352&gt;'Analysis'!$C$13*12,0,'Analysis'!$G$22)</x:f>
        <x:v>786.6163221218766</x:v>
      </x:c>
      <x:c r="F352" s="32" t="n">
        <x:f>MAX(0,E352-G352)</x:f>
        <x:v>65.70732373315775</x:v>
      </x:c>
      <x:c r="G352" s="16" t="n">
        <x:f>IF(OR('Analysis'!$G$21=0,B352&gt;'Analysis'!$C$13*12),0,IF('Analysis'!$C$12=0,'Analysis'!$G$21/('Analysis'!$C$13*12),'Analysis'!$G$21*(1+'Analysis'!$C$12/12)^-('Analysis'!$C$13*12-B352)*(1-(1+'Analysis'!$C$12/12)^-1)/(1-(1+'Analysis'!$C$12/12)^-('Analysis'!$C$13*12))))</x:f>
        <x:v>720.9089983887188</x:v>
      </x:c>
      <x:c r="H352" s="16" t="n">
        <x:f>IF(B352&gt;='Analysis'!$C$13*12,0,MAX(0,D352-G352))</x:f>
        <x:v>9792.262798917642</x:v>
      </x:c>
    </x:row>
    <x:row r="353" ht="22" customHeight="1">
      <x:c r="A353" s="2"/>
      <x:c r="B353" s="41" t="n">
        <x:f>348</x:f>
        <x:v>348</x:v>
      </x:c>
      <x:c r="C353" s="41" t="n">
        <x:f>ROUNDUP(B353/12,0)</x:f>
        <x:v>29</x:v>
      </x:c>
      <x:c r="D353" s="16" t="n">
        <x:f>H352</x:f>
        <x:v>9792.262798917642</x:v>
      </x:c>
      <x:c r="E353" s="32" t="n">
        <x:f>IF(B353&gt;'Analysis'!$C$13*12,0,'Analysis'!$G$22)</x:f>
        <x:v>786.6163221218766</x:v>
      </x:c>
      <x:c r="F353" s="32" t="n">
        <x:f>MAX(0,E353-G353)</x:f>
        <x:v>61.201642493228064</x:v>
      </x:c>
      <x:c r="G353" s="16" t="n">
        <x:f>IF(OR('Analysis'!$G$21=0,B353&gt;'Analysis'!$C$13*12),0,IF('Analysis'!$C$12=0,'Analysis'!$G$21/('Analysis'!$C$13*12),'Analysis'!$G$21*(1+'Analysis'!$C$12/12)^-('Analysis'!$C$13*12-B353)*(1-(1+'Analysis'!$C$12/12)^-1)/(1-(1+'Analysis'!$C$12/12)^-('Analysis'!$C$13*12))))</x:f>
        <x:v>725.4146796286485</x:v>
      </x:c>
      <x:c r="H353" s="16" t="n">
        <x:f>IF(B353&gt;='Analysis'!$C$13*12,0,MAX(0,D353-G353))</x:f>
        <x:v>9066.848119288994</x:v>
      </x:c>
    </x:row>
    <x:row r="354" ht="22" customHeight="1">
      <x:c r="A354" s="2"/>
      <x:c r="B354" s="41" t="n">
        <x:f>349</x:f>
        <x:v>349</x:v>
      </x:c>
      <x:c r="C354" s="41" t="n">
        <x:f>ROUNDUP(B354/12,0)</x:f>
        <x:v>30</x:v>
      </x:c>
      <x:c r="D354" s="16" t="n">
        <x:f>H353</x:f>
        <x:v>9066.848119288994</x:v>
      </x:c>
      <x:c r="E354" s="32" t="n">
        <x:f>IF(B354&gt;'Analysis'!$C$13*12,0,'Analysis'!$G$22)</x:f>
        <x:v>786.6163221218766</x:v>
      </x:c>
      <x:c r="F354" s="32" t="n">
        <x:f>MAX(0,E354-G354)</x:f>
        <x:v>56.66780074554879</x:v>
      </x:c>
      <x:c r="G354" s="16" t="n">
        <x:f>IF(OR('Analysis'!$G$21=0,B354&gt;'Analysis'!$C$13*12),0,IF('Analysis'!$C$12=0,'Analysis'!$G$21/('Analysis'!$C$13*12),'Analysis'!$G$21*(1+'Analysis'!$C$12/12)^-('Analysis'!$C$13*12-B354)*(1-(1+'Analysis'!$C$12/12)^-1)/(1-(1+'Analysis'!$C$12/12)^-('Analysis'!$C$13*12))))</x:f>
        <x:v>729.9485213763278</x:v>
      </x:c>
      <x:c r="H354" s="16" t="n">
        <x:f>IF(B354&gt;='Analysis'!$C$13*12,0,MAX(0,D354-G354))</x:f>
        <x:v>8336.899597912667</x:v>
      </x:c>
    </x:row>
    <x:row r="355" ht="22" customHeight="1">
      <x:c r="A355" s="2"/>
      <x:c r="B355" s="41" t="n">
        <x:f>350</x:f>
        <x:v>350</x:v>
      </x:c>
      <x:c r="C355" s="41" t="n">
        <x:f>ROUNDUP(B355/12,0)</x:f>
        <x:v>30</x:v>
      </x:c>
      <x:c r="D355" s="16" t="n">
        <x:f>H354</x:f>
        <x:v>8336.899597912667</x:v>
      </x:c>
      <x:c r="E355" s="32" t="n">
        <x:f>IF(B355&gt;'Analysis'!$C$13*12,0,'Analysis'!$G$22)</x:f>
        <x:v>786.6163221218766</x:v>
      </x:c>
      <x:c r="F355" s="32" t="n">
        <x:f>MAX(0,E355-G355)</x:f>
        <x:v>52.1056224869468</x:v>
      </x:c>
      <x:c r="G355" s="16" t="n">
        <x:f>IF(OR('Analysis'!$G$21=0,B355&gt;'Analysis'!$C$13*12),0,IF('Analysis'!$C$12=0,'Analysis'!$G$21/('Analysis'!$C$13*12),'Analysis'!$G$21*(1+'Analysis'!$C$12/12)^-('Analysis'!$C$13*12-B355)*(1-(1+'Analysis'!$C$12/12)^-1)/(1-(1+'Analysis'!$C$12/12)^-('Analysis'!$C$13*12))))</x:f>
        <x:v>734.5106996349298</x:v>
      </x:c>
      <x:c r="H355" s="16" t="n">
        <x:f>IF(B355&gt;='Analysis'!$C$13*12,0,MAX(0,D355-G355))</x:f>
        <x:v>7602.388898277737</x:v>
      </x:c>
    </x:row>
    <x:row r="356" ht="22" customHeight="1">
      <x:c r="A356" s="2"/>
      <x:c r="B356" s="41" t="n">
        <x:f>351</x:f>
        <x:v>351</x:v>
      </x:c>
      <x:c r="C356" s="41" t="n">
        <x:f>ROUNDUP(B356/12,0)</x:f>
        <x:v>30</x:v>
      </x:c>
      <x:c r="D356" s="16" t="n">
        <x:f>H355</x:f>
        <x:v>7602.388898277737</x:v>
      </x:c>
      <x:c r="E356" s="32" t="n">
        <x:f>IF(B356&gt;'Analysis'!$C$13*12,0,'Analysis'!$G$22)</x:f>
        <x:v>786.6163221218766</x:v>
      </x:c>
      <x:c r="F356" s="32" t="n">
        <x:f>MAX(0,E356-G356)</x:f>
        <x:v>47.51493061422843</x:v>
      </x:c>
      <x:c r="G356" s="16" t="n">
        <x:f>IF(OR('Analysis'!$G$21=0,B356&gt;'Analysis'!$C$13*12),0,IF('Analysis'!$C$12=0,'Analysis'!$G$21/('Analysis'!$C$13*12),'Analysis'!$G$21*(1+'Analysis'!$C$12/12)^-('Analysis'!$C$13*12-B356)*(1-(1+'Analysis'!$C$12/12)^-1)/(1-(1+'Analysis'!$C$12/12)^-('Analysis'!$C$13*12))))</x:f>
        <x:v>739.1013915076481</x:v>
      </x:c>
      <x:c r="H356" s="16" t="n">
        <x:f>IF(B356&gt;='Analysis'!$C$13*12,0,MAX(0,D356-G356))</x:f>
        <x:v>6863.287506770089</x:v>
      </x:c>
    </x:row>
    <x:row r="357" ht="22" customHeight="1">
      <x:c r="A357" s="2"/>
      <x:c r="B357" s="41" t="n">
        <x:f>352</x:f>
        <x:v>352</x:v>
      </x:c>
      <x:c r="C357" s="41" t="n">
        <x:f>ROUNDUP(B357/12,0)</x:f>
        <x:v>30</x:v>
      </x:c>
      <x:c r="D357" s="16" t="n">
        <x:f>H356</x:f>
        <x:v>6863.287506770089</x:v>
      </x:c>
      <x:c r="E357" s="32" t="n">
        <x:f>IF(B357&gt;'Analysis'!$C$13*12,0,'Analysis'!$G$22)</x:f>
        <x:v>786.6163221218766</x:v>
      </x:c>
      <x:c r="F357" s="32" t="n">
        <x:f>MAX(0,E357-G357)</x:f>
        <x:v>42.89554691730564</x:v>
      </x:c>
      <x:c r="G357" s="16" t="n">
        <x:f>IF(OR('Analysis'!$G$21=0,B357&gt;'Analysis'!$C$13*12),0,IF('Analysis'!$C$12=0,'Analysis'!$G$21/('Analysis'!$C$13*12),'Analysis'!$G$21*(1+'Analysis'!$C$12/12)^-('Analysis'!$C$13*12-B357)*(1-(1+'Analysis'!$C$12/12)^-1)/(1-(1+'Analysis'!$C$12/12)^-('Analysis'!$C$13*12))))</x:f>
        <x:v>743.7207752045709</x:v>
      </x:c>
      <x:c r="H357" s="16" t="n">
        <x:f>IF(B357&gt;='Analysis'!$C$13*12,0,MAX(0,D357-G357))</x:f>
        <x:v>6119.566731565518</x:v>
      </x:c>
    </x:row>
    <x:row r="358" ht="22" customHeight="1">
      <x:c r="A358" s="2"/>
      <x:c r="B358" s="41" t="n">
        <x:f>353</x:f>
        <x:v>353</x:v>
      </x:c>
      <x:c r="C358" s="41" t="n">
        <x:f>ROUNDUP(B358/12,0)</x:f>
        <x:v>30</x:v>
      </x:c>
      <x:c r="D358" s="16" t="n">
        <x:f>H357</x:f>
        <x:v>6119.566731565518</x:v>
      </x:c>
      <x:c r="E358" s="32" t="n">
        <x:f>IF(B358&gt;'Analysis'!$C$13*12,0,'Analysis'!$G$22)</x:f>
        <x:v>786.6163221218766</x:v>
      </x:c>
      <x:c r="F358" s="32" t="n">
        <x:f>MAX(0,E358-G358)</x:f>
        <x:v>38.24729207227699</x:v>
      </x:c>
      <x:c r="G358" s="16" t="n">
        <x:f>IF(OR('Analysis'!$G$21=0,B358&gt;'Analysis'!$C$13*12),0,IF('Analysis'!$C$12=0,'Analysis'!$G$21/('Analysis'!$C$13*12),'Analysis'!$G$21*(1+'Analysis'!$C$12/12)^-('Analysis'!$C$13*12-B358)*(1-(1+'Analysis'!$C$12/12)^-1)/(1-(1+'Analysis'!$C$12/12)^-('Analysis'!$C$13*12))))</x:f>
        <x:v>748.3690300495996</x:v>
      </x:c>
      <x:c r="H358" s="16" t="n">
        <x:f>IF(B358&gt;='Analysis'!$C$13*12,0,MAX(0,D358-G358))</x:f>
        <x:v>5371.197701515919</x:v>
      </x:c>
    </x:row>
    <x:row r="359" ht="22" customHeight="1">
      <x:c r="A359" s="2"/>
      <x:c r="B359" s="41" t="n">
        <x:f>354</x:f>
        <x:v>354</x:v>
      </x:c>
      <x:c r="C359" s="41" t="n">
        <x:f>ROUNDUP(B359/12,0)</x:f>
        <x:v>30</x:v>
      </x:c>
      <x:c r="D359" s="16" t="n">
        <x:f>H358</x:f>
        <x:v>5371.197701515919</x:v>
      </x:c>
      <x:c r="E359" s="32" t="n">
        <x:f>IF(B359&gt;'Analysis'!$C$13*12,0,'Analysis'!$G$22)</x:f>
        <x:v>786.6163221218766</x:v>
      </x:c>
      <x:c r="F359" s="32" t="n">
        <x:f>MAX(0,E359-G359)</x:f>
        <x:v>33.56998563446689</x:v>
      </x:c>
      <x:c r="G359" s="16" t="n">
        <x:f>IF(OR('Analysis'!$G$21=0,B359&gt;'Analysis'!$C$13*12),0,IF('Analysis'!$C$12=0,'Analysis'!$G$21/('Analysis'!$C$13*12),'Analysis'!$G$21*(1+'Analysis'!$C$12/12)^-('Analysis'!$C$13*12-B359)*(1-(1+'Analysis'!$C$12/12)^-1)/(1-(1+'Analysis'!$C$12/12)^-('Analysis'!$C$13*12))))</x:f>
        <x:v>753.0463364874097</x:v>
      </x:c>
      <x:c r="H359" s="16" t="n">
        <x:f>IF(B359&gt;='Analysis'!$C$13*12,0,MAX(0,D359-G359))</x:f>
        <x:v>4618.15136502851</x:v>
      </x:c>
    </x:row>
    <x:row r="360" ht="22" customHeight="1">
      <x:c r="A360" s="2"/>
      <x:c r="B360" s="41" t="n">
        <x:f>355</x:f>
        <x:v>355</x:v>
      </x:c>
      <x:c r="C360" s="41" t="n">
        <x:f>ROUNDUP(B360/12,0)</x:f>
        <x:v>30</x:v>
      </x:c>
      <x:c r="D360" s="16" t="n">
        <x:f>H359</x:f>
        <x:v>4618.15136502851</x:v>
      </x:c>
      <x:c r="E360" s="32" t="n">
        <x:f>IF(B360&gt;'Analysis'!$C$13*12,0,'Analysis'!$G$22)</x:f>
        <x:v>786.6163221218766</x:v>
      </x:c>
      <x:c r="F360" s="32" t="n">
        <x:f>MAX(0,E360-G360)</x:f>
        <x:v>28.863446031420608</x:v>
      </x:c>
      <x:c r="G360" s="16" t="n">
        <x:f>IF(OR('Analysis'!$G$21=0,B360&gt;'Analysis'!$C$13*12),0,IF('Analysis'!$C$12=0,'Analysis'!$G$21/('Analysis'!$C$13*12),'Analysis'!$G$21*(1+'Analysis'!$C$12/12)^-('Analysis'!$C$13*12-B360)*(1-(1+'Analysis'!$C$12/12)^-1)/(1-(1+'Analysis'!$C$12/12)^-('Analysis'!$C$13*12))))</x:f>
        <x:v>757.752876090456</x:v>
      </x:c>
      <x:c r="H360" s="16" t="n">
        <x:f>IF(B360&gt;='Analysis'!$C$13*12,0,MAX(0,D360-G360))</x:f>
        <x:v>3860.3984889380536</x:v>
      </x:c>
    </x:row>
    <x:row r="361" ht="22" customHeight="1">
      <x:c r="A361" s="2"/>
      <x:c r="B361" s="41" t="n">
        <x:f>356</x:f>
        <x:v>356</x:v>
      </x:c>
      <x:c r="C361" s="41" t="n">
        <x:f>ROUNDUP(B361/12,0)</x:f>
        <x:v>30</x:v>
      </x:c>
      <x:c r="D361" s="16" t="n">
        <x:f>H360</x:f>
        <x:v>3860.3984889380536</x:v>
      </x:c>
      <x:c r="E361" s="32" t="n">
        <x:f>IF(B361&gt;'Analysis'!$C$13*12,0,'Analysis'!$G$22)</x:f>
        <x:v>786.6163221218766</x:v>
      </x:c>
      <x:c r="F361" s="32" t="n">
        <x:f>MAX(0,E361-G361)</x:f>
        <x:v>24.127490555855047</x:v>
      </x:c>
      <x:c r="G361" s="16" t="n">
        <x:f>IF(OR('Analysis'!$G$21=0,B361&gt;'Analysis'!$C$13*12),0,IF('Analysis'!$C$12=0,'Analysis'!$G$21/('Analysis'!$C$13*12),'Analysis'!$G$21*(1+'Analysis'!$C$12/12)^-('Analysis'!$C$13*12-B361)*(1-(1+'Analysis'!$C$12/12)^-1)/(1-(1+'Analysis'!$C$12/12)^-('Analysis'!$C$13*12))))</x:f>
        <x:v>762.4888315660215</x:v>
      </x:c>
      <x:c r="H361" s="16" t="n">
        <x:f>IF(B361&gt;='Analysis'!$C$13*12,0,MAX(0,D361-G361))</x:f>
        <x:v>3097.909657372032</x:v>
      </x:c>
    </x:row>
    <x:row r="362" ht="22" customHeight="1">
      <x:c r="A362" s="2"/>
      <x:c r="B362" s="41" t="n">
        <x:f>357</x:f>
        <x:v>357</x:v>
      </x:c>
      <x:c r="C362" s="41" t="n">
        <x:f>ROUNDUP(B362/12,0)</x:f>
        <x:v>30</x:v>
      </x:c>
      <x:c r="D362" s="16" t="n">
        <x:f>H361</x:f>
        <x:v>3097.909657372032</x:v>
      </x:c>
      <x:c r="E362" s="32" t="n">
        <x:f>IF(B362&gt;'Analysis'!$C$13*12,0,'Analysis'!$G$22)</x:f>
        <x:v>786.6163221218766</x:v>
      </x:c>
      <x:c r="F362" s="32" t="n">
        <x:f>MAX(0,E362-G362)</x:f>
        <x:v>19.361935358567393</x:v>
      </x:c>
      <x:c r="G362" s="16" t="n">
        <x:f>IF(OR('Analysis'!$G$21=0,B362&gt;'Analysis'!$C$13*12),0,IF('Analysis'!$C$12=0,'Analysis'!$G$21/('Analysis'!$C$13*12),'Analysis'!$G$21*(1+'Analysis'!$C$12/12)^-('Analysis'!$C$13*12-B362)*(1-(1+'Analysis'!$C$12/12)^-1)/(1-(1+'Analysis'!$C$12/12)^-('Analysis'!$C$13*12))))</x:f>
        <x:v>767.2543867633092</x:v>
      </x:c>
      <x:c r="H362" s="16" t="n">
        <x:f>IF(B362&gt;='Analysis'!$C$13*12,0,MAX(0,D362-G362))</x:f>
        <x:v>2330.655270608723</x:v>
      </x:c>
    </x:row>
    <x:row r="363" ht="22" customHeight="1">
      <x:c r="A363" s="2"/>
      <x:c r="B363" s="41" t="n">
        <x:f>358</x:f>
        <x:v>358</x:v>
      </x:c>
      <x:c r="C363" s="41" t="n">
        <x:f>ROUNDUP(B363/12,0)</x:f>
        <x:v>30</x:v>
      </x:c>
      <x:c r="D363" s="16" t="n">
        <x:f>H362</x:f>
        <x:v>2330.655270608723</x:v>
      </x:c>
      <x:c r="E363" s="32" t="n">
        <x:f>IF(B363&gt;'Analysis'!$C$13*12,0,'Analysis'!$G$22)</x:f>
        <x:v>786.6163221218766</x:v>
      </x:c>
      <x:c r="F363" s="32" t="n">
        <x:f>MAX(0,E363-G363)</x:f>
        <x:v>14.566595441296613</x:v>
      </x:c>
      <x:c r="G363" s="16" t="n">
        <x:f>IF(OR('Analysis'!$G$21=0,B363&gt;'Analysis'!$C$13*12),0,IF('Analysis'!$C$12=0,'Analysis'!$G$21/('Analysis'!$C$13*12),'Analysis'!$G$21*(1+'Analysis'!$C$12/12)^-('Analysis'!$C$13*12-B363)*(1-(1+'Analysis'!$C$12/12)^-1)/(1-(1+'Analysis'!$C$12/12)^-('Analysis'!$C$13*12))))</x:f>
        <x:v>772.04972668058</x:v>
      </x:c>
      <x:c r="H363" s="16" t="n">
        <x:f>IF(B363&gt;='Analysis'!$C$13*12,0,MAX(0,D363-G363))</x:f>
        <x:v>1558.605543928143</x:v>
      </x:c>
    </x:row>
    <x:row r="364" ht="22" customHeight="1">
      <x:c r="A364" s="2"/>
      <x:c r="B364" s="41" t="n">
        <x:f>359</x:f>
        <x:v>359</x:v>
      </x:c>
      <x:c r="C364" s="41" t="n">
        <x:f>ROUNDUP(B364/12,0)</x:f>
        <x:v>30</x:v>
      </x:c>
      <x:c r="D364" s="16" t="n">
        <x:f>H363</x:f>
        <x:v>1558.605543928143</x:v>
      </x:c>
      <x:c r="E364" s="32" t="n">
        <x:f>IF(B364&gt;'Analysis'!$C$13*12,0,'Analysis'!$G$22)</x:f>
        <x:v>786.6163221218766</x:v>
      </x:c>
      <x:c r="F364" s="32" t="n">
        <x:f>MAX(0,E364-G364)</x:f>
        <x:v>9.741284649542877</x:v>
      </x:c>
      <x:c r="G364" s="16" t="n">
        <x:f>IF(OR('Analysis'!$G$21=0,B364&gt;'Analysis'!$C$13*12),0,IF('Analysis'!$C$12=0,'Analysis'!$G$21/('Analysis'!$C$13*12),'Analysis'!$G$21*(1+'Analysis'!$C$12/12)^-('Analysis'!$C$13*12-B364)*(1-(1+'Analysis'!$C$12/12)^-1)/(1-(1+'Analysis'!$C$12/12)^-('Analysis'!$C$13*12))))</x:f>
        <x:v>776.8750374723337</x:v>
      </x:c>
      <x:c r="H364" s="16" t="n">
        <x:f>IF(B364&gt;='Analysis'!$C$13*12,0,MAX(0,D364-G364))</x:f>
        <x:v>781.7305064558094</x:v>
      </x:c>
    </x:row>
    <x:row r="365" ht="22" customHeight="1">
      <x:c r="A365" s="2"/>
      <x:c r="B365" s="41" t="n">
        <x:f>360</x:f>
        <x:v>360</x:v>
      </x:c>
      <x:c r="C365" s="41" t="n">
        <x:f>ROUNDUP(B365/12,0)</x:f>
        <x:v>30</x:v>
      </x:c>
      <x:c r="D365" s="16" t="n">
        <x:f>H364</x:f>
        <x:v>781.7305064558094</x:v>
      </x:c>
      <x:c r="E365" s="32" t="n">
        <x:f>IF(B365&gt;'Analysis'!$C$13*12,0,'Analysis'!$G$22)</x:f>
        <x:v>786.6163221218766</x:v>
      </x:c>
      <x:c r="F365" s="32" t="n">
        <x:f>MAX(0,E365-G365)</x:f>
        <x:v>4.885815665340829</x:v>
      </x:c>
      <x:c r="G365" s="16" t="n">
        <x:f>IF(OR('Analysis'!$G$21=0,B365&gt;'Analysis'!$C$13*12),0,IF('Analysis'!$C$12=0,'Analysis'!$G$21/('Analysis'!$C$13*12),'Analysis'!$G$21*(1+'Analysis'!$C$12/12)^-('Analysis'!$C$13*12-B365)*(1-(1+'Analysis'!$C$12/12)^-1)/(1-(1+'Analysis'!$C$12/12)^-('Analysis'!$C$13*12))))</x:f>
        <x:v>781.7305064565357</x:v>
      </x:c>
      <x:c r="H365" s="16" t="n">
        <x:f>IF(B365&gt;='Analysis'!$C$13*12,0,MAX(0,D365-G365))</x:f>
        <x:v>0</x:v>
      </x:c>
    </x:row>
    <x:row r="366" ht="22" customHeight="1">
      <x:c r="A366" s="2"/>
      <x:c r="B366" s="41" t="n">
        <x:f>361</x:f>
        <x:v>361</x:v>
      </x:c>
      <x:c r="C366" s="41" t="n">
        <x:f>ROUNDUP(B366/12,0)</x:f>
        <x:v>31</x:v>
      </x:c>
      <x:c r="D366" s="16" t="n">
        <x:f>H365</x:f>
        <x:v>0</x:v>
      </x:c>
      <x:c r="E366" s="32" t="n">
        <x:f>IF(B366&gt;'Analysis'!$C$13*12,0,'Analysis'!$G$22)</x:f>
        <x:v>0</x:v>
      </x:c>
      <x:c r="F366" s="32" t="n">
        <x:f>MAX(0,E366-G366)</x:f>
        <x:v>0</x:v>
      </x:c>
      <x:c r="G366" s="16" t="n">
        <x:f>IF(OR('Analysis'!$G$21=0,B366&gt;'Analysis'!$C$13*12),0,IF('Analysis'!$C$12=0,'Analysis'!$G$21/('Analysis'!$C$13*12),'Analysis'!$G$21*(1+'Analysis'!$C$12/12)^-('Analysis'!$C$13*12-B366)*(1-(1+'Analysis'!$C$12/12)^-1)/(1-(1+'Analysis'!$C$12/12)^-('Analysis'!$C$13*12))))</x:f>
        <x:v>0</x:v>
      </x:c>
      <x:c r="H366" s="16" t="n">
        <x:f>IF(B366&gt;='Analysis'!$C$13*12,0,MAX(0,D366-G366))</x:f>
        <x:v>0</x:v>
      </x:c>
    </x:row>
    <x:row r="367" ht="22" customHeight="1">
      <x:c r="A367" s="2"/>
      <x:c r="B367" s="41" t="n">
        <x:f>362</x:f>
        <x:v>362</x:v>
      </x:c>
      <x:c r="C367" s="41" t="n">
        <x:f>ROUNDUP(B367/12,0)</x:f>
        <x:v>31</x:v>
      </x:c>
      <x:c r="D367" s="16" t="n">
        <x:f>H366</x:f>
        <x:v>0</x:v>
      </x:c>
      <x:c r="E367" s="32" t="n">
        <x:f>IF(B367&gt;'Analysis'!$C$13*12,0,'Analysis'!$G$22)</x:f>
        <x:v>0</x:v>
      </x:c>
      <x:c r="F367" s="32" t="n">
        <x:f>MAX(0,E367-G367)</x:f>
        <x:v>0</x:v>
      </x:c>
      <x:c r="G367" s="16" t="n">
        <x:f>IF(OR('Analysis'!$G$21=0,B367&gt;'Analysis'!$C$13*12),0,IF('Analysis'!$C$12=0,'Analysis'!$G$21/('Analysis'!$C$13*12),'Analysis'!$G$21*(1+'Analysis'!$C$12/12)^-('Analysis'!$C$13*12-B367)*(1-(1+'Analysis'!$C$12/12)^-1)/(1-(1+'Analysis'!$C$12/12)^-('Analysis'!$C$13*12))))</x:f>
        <x:v>0</x:v>
      </x:c>
      <x:c r="H367" s="16" t="n">
        <x:f>IF(B367&gt;='Analysis'!$C$13*12,0,MAX(0,D367-G367))</x:f>
        <x:v>0</x:v>
      </x:c>
    </x:row>
    <x:row r="368" ht="22" customHeight="1">
      <x:c r="A368" s="2"/>
      <x:c r="B368" s="41" t="n">
        <x:f>363</x:f>
        <x:v>363</x:v>
      </x:c>
      <x:c r="C368" s="41" t="n">
        <x:f>ROUNDUP(B368/12,0)</x:f>
        <x:v>31</x:v>
      </x:c>
      <x:c r="D368" s="16" t="n">
        <x:f>H367</x:f>
        <x:v>0</x:v>
      </x:c>
      <x:c r="E368" s="32" t="n">
        <x:f>IF(B368&gt;'Analysis'!$C$13*12,0,'Analysis'!$G$22)</x:f>
        <x:v>0</x:v>
      </x:c>
      <x:c r="F368" s="32" t="n">
        <x:f>MAX(0,E368-G368)</x:f>
        <x:v>0</x:v>
      </x:c>
      <x:c r="G368" s="16" t="n">
        <x:f>IF(OR('Analysis'!$G$21=0,B368&gt;'Analysis'!$C$13*12),0,IF('Analysis'!$C$12=0,'Analysis'!$G$21/('Analysis'!$C$13*12),'Analysis'!$G$21*(1+'Analysis'!$C$12/12)^-('Analysis'!$C$13*12-B368)*(1-(1+'Analysis'!$C$12/12)^-1)/(1-(1+'Analysis'!$C$12/12)^-('Analysis'!$C$13*12))))</x:f>
        <x:v>0</x:v>
      </x:c>
      <x:c r="H368" s="16" t="n">
        <x:f>IF(B368&gt;='Analysis'!$C$13*12,0,MAX(0,D368-G368))</x:f>
        <x:v>0</x:v>
      </x:c>
    </x:row>
    <x:row r="369" ht="22" customHeight="1">
      <x:c r="A369" s="2"/>
      <x:c r="B369" s="41" t="n">
        <x:f>364</x:f>
        <x:v>364</x:v>
      </x:c>
      <x:c r="C369" s="41" t="n">
        <x:f>ROUNDUP(B369/12,0)</x:f>
        <x:v>31</x:v>
      </x:c>
      <x:c r="D369" s="16" t="n">
        <x:f>H368</x:f>
        <x:v>0</x:v>
      </x:c>
      <x:c r="E369" s="32" t="n">
        <x:f>IF(B369&gt;'Analysis'!$C$13*12,0,'Analysis'!$G$22)</x:f>
        <x:v>0</x:v>
      </x:c>
      <x:c r="F369" s="32" t="n">
        <x:f>MAX(0,E369-G369)</x:f>
        <x:v>0</x:v>
      </x:c>
      <x:c r="G369" s="16" t="n">
        <x:f>IF(OR('Analysis'!$G$21=0,B369&gt;'Analysis'!$C$13*12),0,IF('Analysis'!$C$12=0,'Analysis'!$G$21/('Analysis'!$C$13*12),'Analysis'!$G$21*(1+'Analysis'!$C$12/12)^-('Analysis'!$C$13*12-B369)*(1-(1+'Analysis'!$C$12/12)^-1)/(1-(1+'Analysis'!$C$12/12)^-('Analysis'!$C$13*12))))</x:f>
        <x:v>0</x:v>
      </x:c>
      <x:c r="H369" s="16" t="n">
        <x:f>IF(B369&gt;='Analysis'!$C$13*12,0,MAX(0,D369-G369))</x:f>
        <x:v>0</x:v>
      </x:c>
    </x:row>
    <x:row r="370" ht="22" customHeight="1">
      <x:c r="A370" s="2"/>
      <x:c r="B370" s="41" t="n">
        <x:f>365</x:f>
        <x:v>365</x:v>
      </x:c>
      <x:c r="C370" s="41" t="n">
        <x:f>ROUNDUP(B370/12,0)</x:f>
        <x:v>31</x:v>
      </x:c>
      <x:c r="D370" s="16" t="n">
        <x:f>H369</x:f>
        <x:v>0</x:v>
      </x:c>
      <x:c r="E370" s="32" t="n">
        <x:f>IF(B370&gt;'Analysis'!$C$13*12,0,'Analysis'!$G$22)</x:f>
        <x:v>0</x:v>
      </x:c>
      <x:c r="F370" s="32" t="n">
        <x:f>MAX(0,E370-G370)</x:f>
        <x:v>0</x:v>
      </x:c>
      <x:c r="G370" s="16" t="n">
        <x:f>IF(OR('Analysis'!$G$21=0,B370&gt;'Analysis'!$C$13*12),0,IF('Analysis'!$C$12=0,'Analysis'!$G$21/('Analysis'!$C$13*12),'Analysis'!$G$21*(1+'Analysis'!$C$12/12)^-('Analysis'!$C$13*12-B370)*(1-(1+'Analysis'!$C$12/12)^-1)/(1-(1+'Analysis'!$C$12/12)^-('Analysis'!$C$13*12))))</x:f>
        <x:v>0</x:v>
      </x:c>
      <x:c r="H370" s="16" t="n">
        <x:f>IF(B370&gt;='Analysis'!$C$13*12,0,MAX(0,D370-G370))</x:f>
        <x:v>0</x:v>
      </x:c>
    </x:row>
    <x:row r="371" ht="22" customHeight="1">
      <x:c r="A371" s="2"/>
      <x:c r="B371" s="41" t="n">
        <x:f>366</x:f>
        <x:v>366</x:v>
      </x:c>
      <x:c r="C371" s="41" t="n">
        <x:f>ROUNDUP(B371/12,0)</x:f>
        <x:v>31</x:v>
      </x:c>
      <x:c r="D371" s="16" t="n">
        <x:f>H370</x:f>
        <x:v>0</x:v>
      </x:c>
      <x:c r="E371" s="32" t="n">
        <x:f>IF(B371&gt;'Analysis'!$C$13*12,0,'Analysis'!$G$22)</x:f>
        <x:v>0</x:v>
      </x:c>
      <x:c r="F371" s="32" t="n">
        <x:f>MAX(0,E371-G371)</x:f>
        <x:v>0</x:v>
      </x:c>
      <x:c r="G371" s="16" t="n">
        <x:f>IF(OR('Analysis'!$G$21=0,B371&gt;'Analysis'!$C$13*12),0,IF('Analysis'!$C$12=0,'Analysis'!$G$21/('Analysis'!$C$13*12),'Analysis'!$G$21*(1+'Analysis'!$C$12/12)^-('Analysis'!$C$13*12-B371)*(1-(1+'Analysis'!$C$12/12)^-1)/(1-(1+'Analysis'!$C$12/12)^-('Analysis'!$C$13*12))))</x:f>
        <x:v>0</x:v>
      </x:c>
      <x:c r="H371" s="16" t="n">
        <x:f>IF(B371&gt;='Analysis'!$C$13*12,0,MAX(0,D371-G371))</x:f>
        <x:v>0</x:v>
      </x:c>
    </x:row>
    <x:row r="372" ht="22" customHeight="1">
      <x:c r="A372" s="2"/>
      <x:c r="B372" s="41" t="n">
        <x:f>367</x:f>
        <x:v>367</x:v>
      </x:c>
      <x:c r="C372" s="41" t="n">
        <x:f>ROUNDUP(B372/12,0)</x:f>
        <x:v>31</x:v>
      </x:c>
      <x:c r="D372" s="16" t="n">
        <x:f>H371</x:f>
        <x:v>0</x:v>
      </x:c>
      <x:c r="E372" s="32" t="n">
        <x:f>IF(B372&gt;'Analysis'!$C$13*12,0,'Analysis'!$G$22)</x:f>
        <x:v>0</x:v>
      </x:c>
      <x:c r="F372" s="32" t="n">
        <x:f>MAX(0,E372-G372)</x:f>
        <x:v>0</x:v>
      </x:c>
      <x:c r="G372" s="16" t="n">
        <x:f>IF(OR('Analysis'!$G$21=0,B372&gt;'Analysis'!$C$13*12),0,IF('Analysis'!$C$12=0,'Analysis'!$G$21/('Analysis'!$C$13*12),'Analysis'!$G$21*(1+'Analysis'!$C$12/12)^-('Analysis'!$C$13*12-B372)*(1-(1+'Analysis'!$C$12/12)^-1)/(1-(1+'Analysis'!$C$12/12)^-('Analysis'!$C$13*12))))</x:f>
        <x:v>0</x:v>
      </x:c>
      <x:c r="H372" s="16" t="n">
        <x:f>IF(B372&gt;='Analysis'!$C$13*12,0,MAX(0,D372-G372))</x:f>
        <x:v>0</x:v>
      </x:c>
    </x:row>
    <x:row r="373" ht="22" customHeight="1">
      <x:c r="A373" s="2"/>
      <x:c r="B373" s="41" t="n">
        <x:f>368</x:f>
        <x:v>368</x:v>
      </x:c>
      <x:c r="C373" s="41" t="n">
        <x:f>ROUNDUP(B373/12,0)</x:f>
        <x:v>31</x:v>
      </x:c>
      <x:c r="D373" s="16" t="n">
        <x:f>H372</x:f>
        <x:v>0</x:v>
      </x:c>
      <x:c r="E373" s="32" t="n">
        <x:f>IF(B373&gt;'Analysis'!$C$13*12,0,'Analysis'!$G$22)</x:f>
        <x:v>0</x:v>
      </x:c>
      <x:c r="F373" s="32" t="n">
        <x:f>MAX(0,E373-G373)</x:f>
        <x:v>0</x:v>
      </x:c>
      <x:c r="G373" s="16" t="n">
        <x:f>IF(OR('Analysis'!$G$21=0,B373&gt;'Analysis'!$C$13*12),0,IF('Analysis'!$C$12=0,'Analysis'!$G$21/('Analysis'!$C$13*12),'Analysis'!$G$21*(1+'Analysis'!$C$12/12)^-('Analysis'!$C$13*12-B373)*(1-(1+'Analysis'!$C$12/12)^-1)/(1-(1+'Analysis'!$C$12/12)^-('Analysis'!$C$13*12))))</x:f>
        <x:v>0</x:v>
      </x:c>
      <x:c r="H373" s="16" t="n">
        <x:f>IF(B373&gt;='Analysis'!$C$13*12,0,MAX(0,D373-G373))</x:f>
        <x:v>0</x:v>
      </x:c>
    </x:row>
    <x:row r="374" ht="22" customHeight="1">
      <x:c r="A374" s="2"/>
      <x:c r="B374" s="41" t="n">
        <x:f>369</x:f>
        <x:v>369</x:v>
      </x:c>
      <x:c r="C374" s="41" t="n">
        <x:f>ROUNDUP(B374/12,0)</x:f>
        <x:v>31</x:v>
      </x:c>
      <x:c r="D374" s="16" t="n">
        <x:f>H373</x:f>
        <x:v>0</x:v>
      </x:c>
      <x:c r="E374" s="32" t="n">
        <x:f>IF(B374&gt;'Analysis'!$C$13*12,0,'Analysis'!$G$22)</x:f>
        <x:v>0</x:v>
      </x:c>
      <x:c r="F374" s="32" t="n">
        <x:f>MAX(0,E374-G374)</x:f>
        <x:v>0</x:v>
      </x:c>
      <x:c r="G374" s="16" t="n">
        <x:f>IF(OR('Analysis'!$G$21=0,B374&gt;'Analysis'!$C$13*12),0,IF('Analysis'!$C$12=0,'Analysis'!$G$21/('Analysis'!$C$13*12),'Analysis'!$G$21*(1+'Analysis'!$C$12/12)^-('Analysis'!$C$13*12-B374)*(1-(1+'Analysis'!$C$12/12)^-1)/(1-(1+'Analysis'!$C$12/12)^-('Analysis'!$C$13*12))))</x:f>
        <x:v>0</x:v>
      </x:c>
      <x:c r="H374" s="16" t="n">
        <x:f>IF(B374&gt;='Analysis'!$C$13*12,0,MAX(0,D374-G374))</x:f>
        <x:v>0</x:v>
      </x:c>
    </x:row>
    <x:row r="375" ht="22" customHeight="1">
      <x:c r="A375" s="2"/>
      <x:c r="B375" s="41" t="n">
        <x:f>370</x:f>
        <x:v>370</x:v>
      </x:c>
      <x:c r="C375" s="41" t="n">
        <x:f>ROUNDUP(B375/12,0)</x:f>
        <x:v>31</x:v>
      </x:c>
      <x:c r="D375" s="16" t="n">
        <x:f>H374</x:f>
        <x:v>0</x:v>
      </x:c>
      <x:c r="E375" s="32" t="n">
        <x:f>IF(B375&gt;'Analysis'!$C$13*12,0,'Analysis'!$G$22)</x:f>
        <x:v>0</x:v>
      </x:c>
      <x:c r="F375" s="32" t="n">
        <x:f>MAX(0,E375-G375)</x:f>
        <x:v>0</x:v>
      </x:c>
      <x:c r="G375" s="16" t="n">
        <x:f>IF(OR('Analysis'!$G$21=0,B375&gt;'Analysis'!$C$13*12),0,IF('Analysis'!$C$12=0,'Analysis'!$G$21/('Analysis'!$C$13*12),'Analysis'!$G$21*(1+'Analysis'!$C$12/12)^-('Analysis'!$C$13*12-B375)*(1-(1+'Analysis'!$C$12/12)^-1)/(1-(1+'Analysis'!$C$12/12)^-('Analysis'!$C$13*12))))</x:f>
        <x:v>0</x:v>
      </x:c>
      <x:c r="H375" s="16" t="n">
        <x:f>IF(B375&gt;='Analysis'!$C$13*12,0,MAX(0,D375-G375))</x:f>
        <x:v>0</x:v>
      </x:c>
    </x:row>
    <x:row r="376" ht="22" customHeight="1">
      <x:c r="A376" s="2"/>
      <x:c r="B376" s="41" t="n">
        <x:f>371</x:f>
        <x:v>371</x:v>
      </x:c>
      <x:c r="C376" s="41" t="n">
        <x:f>ROUNDUP(B376/12,0)</x:f>
        <x:v>31</x:v>
      </x:c>
      <x:c r="D376" s="16" t="n">
        <x:f>H375</x:f>
        <x:v>0</x:v>
      </x:c>
      <x:c r="E376" s="32" t="n">
        <x:f>IF(B376&gt;'Analysis'!$C$13*12,0,'Analysis'!$G$22)</x:f>
        <x:v>0</x:v>
      </x:c>
      <x:c r="F376" s="32" t="n">
        <x:f>MAX(0,E376-G376)</x:f>
        <x:v>0</x:v>
      </x:c>
      <x:c r="G376" s="16" t="n">
        <x:f>IF(OR('Analysis'!$G$21=0,B376&gt;'Analysis'!$C$13*12),0,IF('Analysis'!$C$12=0,'Analysis'!$G$21/('Analysis'!$C$13*12),'Analysis'!$G$21*(1+'Analysis'!$C$12/12)^-('Analysis'!$C$13*12-B376)*(1-(1+'Analysis'!$C$12/12)^-1)/(1-(1+'Analysis'!$C$12/12)^-('Analysis'!$C$13*12))))</x:f>
        <x:v>0</x:v>
      </x:c>
      <x:c r="H376" s="16" t="n">
        <x:f>IF(B376&gt;='Analysis'!$C$13*12,0,MAX(0,D376-G376))</x:f>
        <x:v>0</x:v>
      </x:c>
    </x:row>
    <x:row r="377" ht="22" customHeight="1">
      <x:c r="A377" s="2"/>
      <x:c r="B377" s="41" t="n">
        <x:f>372</x:f>
        <x:v>372</x:v>
      </x:c>
      <x:c r="C377" s="41" t="n">
        <x:f>ROUNDUP(B377/12,0)</x:f>
        <x:v>31</x:v>
      </x:c>
      <x:c r="D377" s="16" t="n">
        <x:f>H376</x:f>
        <x:v>0</x:v>
      </x:c>
      <x:c r="E377" s="32" t="n">
        <x:f>IF(B377&gt;'Analysis'!$C$13*12,0,'Analysis'!$G$22)</x:f>
        <x:v>0</x:v>
      </x:c>
      <x:c r="F377" s="32" t="n">
        <x:f>MAX(0,E377-G377)</x:f>
        <x:v>0</x:v>
      </x:c>
      <x:c r="G377" s="16" t="n">
        <x:f>IF(OR('Analysis'!$G$21=0,B377&gt;'Analysis'!$C$13*12),0,IF('Analysis'!$C$12=0,'Analysis'!$G$21/('Analysis'!$C$13*12),'Analysis'!$G$21*(1+'Analysis'!$C$12/12)^-('Analysis'!$C$13*12-B377)*(1-(1+'Analysis'!$C$12/12)^-1)/(1-(1+'Analysis'!$C$12/12)^-('Analysis'!$C$13*12))))</x:f>
        <x:v>0</x:v>
      </x:c>
      <x:c r="H377" s="16" t="n">
        <x:f>IF(B377&gt;='Analysis'!$C$13*12,0,MAX(0,D377-G377))</x:f>
        <x:v>0</x:v>
      </x:c>
    </x:row>
    <x:row r="378" ht="22" customHeight="1">
      <x:c r="A378" s="2"/>
      <x:c r="B378" s="41" t="n">
        <x:f>373</x:f>
        <x:v>373</x:v>
      </x:c>
      <x:c r="C378" s="41" t="n">
        <x:f>ROUNDUP(B378/12,0)</x:f>
        <x:v>32</x:v>
      </x:c>
      <x:c r="D378" s="16" t="n">
        <x:f>H377</x:f>
        <x:v>0</x:v>
      </x:c>
      <x:c r="E378" s="32" t="n">
        <x:f>IF(B378&gt;'Analysis'!$C$13*12,0,'Analysis'!$G$22)</x:f>
        <x:v>0</x:v>
      </x:c>
      <x:c r="F378" s="32" t="n">
        <x:f>MAX(0,E378-G378)</x:f>
        <x:v>0</x:v>
      </x:c>
      <x:c r="G378" s="16" t="n">
        <x:f>IF(OR('Analysis'!$G$21=0,B378&gt;'Analysis'!$C$13*12),0,IF('Analysis'!$C$12=0,'Analysis'!$G$21/('Analysis'!$C$13*12),'Analysis'!$G$21*(1+'Analysis'!$C$12/12)^-('Analysis'!$C$13*12-B378)*(1-(1+'Analysis'!$C$12/12)^-1)/(1-(1+'Analysis'!$C$12/12)^-('Analysis'!$C$13*12))))</x:f>
        <x:v>0</x:v>
      </x:c>
      <x:c r="H378" s="16" t="n">
        <x:f>IF(B378&gt;='Analysis'!$C$13*12,0,MAX(0,D378-G378))</x:f>
        <x:v>0</x:v>
      </x:c>
    </x:row>
    <x:row r="379" ht="22" customHeight="1">
      <x:c r="A379" s="2"/>
      <x:c r="B379" s="41" t="n">
        <x:f>374</x:f>
        <x:v>374</x:v>
      </x:c>
      <x:c r="C379" s="41" t="n">
        <x:f>ROUNDUP(B379/12,0)</x:f>
        <x:v>32</x:v>
      </x:c>
      <x:c r="D379" s="16" t="n">
        <x:f>H378</x:f>
        <x:v>0</x:v>
      </x:c>
      <x:c r="E379" s="32" t="n">
        <x:f>IF(B379&gt;'Analysis'!$C$13*12,0,'Analysis'!$G$22)</x:f>
        <x:v>0</x:v>
      </x:c>
      <x:c r="F379" s="32" t="n">
        <x:f>MAX(0,E379-G379)</x:f>
        <x:v>0</x:v>
      </x:c>
      <x:c r="G379" s="16" t="n">
        <x:f>IF(OR('Analysis'!$G$21=0,B379&gt;'Analysis'!$C$13*12),0,IF('Analysis'!$C$12=0,'Analysis'!$G$21/('Analysis'!$C$13*12),'Analysis'!$G$21*(1+'Analysis'!$C$12/12)^-('Analysis'!$C$13*12-B379)*(1-(1+'Analysis'!$C$12/12)^-1)/(1-(1+'Analysis'!$C$12/12)^-('Analysis'!$C$13*12))))</x:f>
        <x:v>0</x:v>
      </x:c>
      <x:c r="H379" s="16" t="n">
        <x:f>IF(B379&gt;='Analysis'!$C$13*12,0,MAX(0,D379-G379))</x:f>
        <x:v>0</x:v>
      </x:c>
    </x:row>
    <x:row r="380" ht="22" customHeight="1">
      <x:c r="A380" s="2"/>
      <x:c r="B380" s="41" t="n">
        <x:f>375</x:f>
        <x:v>375</x:v>
      </x:c>
      <x:c r="C380" s="41" t="n">
        <x:f>ROUNDUP(B380/12,0)</x:f>
        <x:v>32</x:v>
      </x:c>
      <x:c r="D380" s="16" t="n">
        <x:f>H379</x:f>
        <x:v>0</x:v>
      </x:c>
      <x:c r="E380" s="32" t="n">
        <x:f>IF(B380&gt;'Analysis'!$C$13*12,0,'Analysis'!$G$22)</x:f>
        <x:v>0</x:v>
      </x:c>
      <x:c r="F380" s="32" t="n">
        <x:f>MAX(0,E380-G380)</x:f>
        <x:v>0</x:v>
      </x:c>
      <x:c r="G380" s="16" t="n">
        <x:f>IF(OR('Analysis'!$G$21=0,B380&gt;'Analysis'!$C$13*12),0,IF('Analysis'!$C$12=0,'Analysis'!$G$21/('Analysis'!$C$13*12),'Analysis'!$G$21*(1+'Analysis'!$C$12/12)^-('Analysis'!$C$13*12-B380)*(1-(1+'Analysis'!$C$12/12)^-1)/(1-(1+'Analysis'!$C$12/12)^-('Analysis'!$C$13*12))))</x:f>
        <x:v>0</x:v>
      </x:c>
      <x:c r="H380" s="16" t="n">
        <x:f>IF(B380&gt;='Analysis'!$C$13*12,0,MAX(0,D380-G380))</x:f>
        <x:v>0</x:v>
      </x:c>
    </x:row>
    <x:row r="381" ht="22" customHeight="1">
      <x:c r="A381" s="2"/>
      <x:c r="B381" s="41" t="n">
        <x:f>376</x:f>
        <x:v>376</x:v>
      </x:c>
      <x:c r="C381" s="41" t="n">
        <x:f>ROUNDUP(B381/12,0)</x:f>
        <x:v>32</x:v>
      </x:c>
      <x:c r="D381" s="16" t="n">
        <x:f>H380</x:f>
        <x:v>0</x:v>
      </x:c>
      <x:c r="E381" s="32" t="n">
        <x:f>IF(B381&gt;'Analysis'!$C$13*12,0,'Analysis'!$G$22)</x:f>
        <x:v>0</x:v>
      </x:c>
      <x:c r="F381" s="32" t="n">
        <x:f>MAX(0,E381-G381)</x:f>
        <x:v>0</x:v>
      </x:c>
      <x:c r="G381" s="16" t="n">
        <x:f>IF(OR('Analysis'!$G$21=0,B381&gt;'Analysis'!$C$13*12),0,IF('Analysis'!$C$12=0,'Analysis'!$G$21/('Analysis'!$C$13*12),'Analysis'!$G$21*(1+'Analysis'!$C$12/12)^-('Analysis'!$C$13*12-B381)*(1-(1+'Analysis'!$C$12/12)^-1)/(1-(1+'Analysis'!$C$12/12)^-('Analysis'!$C$13*12))))</x:f>
        <x:v>0</x:v>
      </x:c>
      <x:c r="H381" s="16" t="n">
        <x:f>IF(B381&gt;='Analysis'!$C$13*12,0,MAX(0,D381-G381))</x:f>
        <x:v>0</x:v>
      </x:c>
    </x:row>
    <x:row r="382" ht="22" customHeight="1">
      <x:c r="A382" s="2"/>
      <x:c r="B382" s="41" t="n">
        <x:f>377</x:f>
        <x:v>377</x:v>
      </x:c>
      <x:c r="C382" s="41" t="n">
        <x:f>ROUNDUP(B382/12,0)</x:f>
        <x:v>32</x:v>
      </x:c>
      <x:c r="D382" s="16" t="n">
        <x:f>H381</x:f>
        <x:v>0</x:v>
      </x:c>
      <x:c r="E382" s="32" t="n">
        <x:f>IF(B382&gt;'Analysis'!$C$13*12,0,'Analysis'!$G$22)</x:f>
        <x:v>0</x:v>
      </x:c>
      <x:c r="F382" s="32" t="n">
        <x:f>MAX(0,E382-G382)</x:f>
        <x:v>0</x:v>
      </x:c>
      <x:c r="G382" s="16" t="n">
        <x:f>IF(OR('Analysis'!$G$21=0,B382&gt;'Analysis'!$C$13*12),0,IF('Analysis'!$C$12=0,'Analysis'!$G$21/('Analysis'!$C$13*12),'Analysis'!$G$21*(1+'Analysis'!$C$12/12)^-('Analysis'!$C$13*12-B382)*(1-(1+'Analysis'!$C$12/12)^-1)/(1-(1+'Analysis'!$C$12/12)^-('Analysis'!$C$13*12))))</x:f>
        <x:v>0</x:v>
      </x:c>
      <x:c r="H382" s="16" t="n">
        <x:f>IF(B382&gt;='Analysis'!$C$13*12,0,MAX(0,D382-G382))</x:f>
        <x:v>0</x:v>
      </x:c>
    </x:row>
    <x:row r="383" ht="22" customHeight="1">
      <x:c r="A383" s="2"/>
      <x:c r="B383" s="41" t="n">
        <x:f>378</x:f>
        <x:v>378</x:v>
      </x:c>
      <x:c r="C383" s="41" t="n">
        <x:f>ROUNDUP(B383/12,0)</x:f>
        <x:v>32</x:v>
      </x:c>
      <x:c r="D383" s="16" t="n">
        <x:f>H382</x:f>
        <x:v>0</x:v>
      </x:c>
      <x:c r="E383" s="32" t="n">
        <x:f>IF(B383&gt;'Analysis'!$C$13*12,0,'Analysis'!$G$22)</x:f>
        <x:v>0</x:v>
      </x:c>
      <x:c r="F383" s="32" t="n">
        <x:f>MAX(0,E383-G383)</x:f>
        <x:v>0</x:v>
      </x:c>
      <x:c r="G383" s="16" t="n">
        <x:f>IF(OR('Analysis'!$G$21=0,B383&gt;'Analysis'!$C$13*12),0,IF('Analysis'!$C$12=0,'Analysis'!$G$21/('Analysis'!$C$13*12),'Analysis'!$G$21*(1+'Analysis'!$C$12/12)^-('Analysis'!$C$13*12-B383)*(1-(1+'Analysis'!$C$12/12)^-1)/(1-(1+'Analysis'!$C$12/12)^-('Analysis'!$C$13*12))))</x:f>
        <x:v>0</x:v>
      </x:c>
      <x:c r="H383" s="16" t="n">
        <x:f>IF(B383&gt;='Analysis'!$C$13*12,0,MAX(0,D383-G383))</x:f>
        <x:v>0</x:v>
      </x:c>
    </x:row>
    <x:row r="384" ht="22" customHeight="1">
      <x:c r="A384" s="2"/>
      <x:c r="B384" s="41" t="n">
        <x:f>379</x:f>
        <x:v>379</x:v>
      </x:c>
      <x:c r="C384" s="41" t="n">
        <x:f>ROUNDUP(B384/12,0)</x:f>
        <x:v>32</x:v>
      </x:c>
      <x:c r="D384" s="16" t="n">
        <x:f>H383</x:f>
        <x:v>0</x:v>
      </x:c>
      <x:c r="E384" s="32" t="n">
        <x:f>IF(B384&gt;'Analysis'!$C$13*12,0,'Analysis'!$G$22)</x:f>
        <x:v>0</x:v>
      </x:c>
      <x:c r="F384" s="32" t="n">
        <x:f>MAX(0,E384-G384)</x:f>
        <x:v>0</x:v>
      </x:c>
      <x:c r="G384" s="16" t="n">
        <x:f>IF(OR('Analysis'!$G$21=0,B384&gt;'Analysis'!$C$13*12),0,IF('Analysis'!$C$12=0,'Analysis'!$G$21/('Analysis'!$C$13*12),'Analysis'!$G$21*(1+'Analysis'!$C$12/12)^-('Analysis'!$C$13*12-B384)*(1-(1+'Analysis'!$C$12/12)^-1)/(1-(1+'Analysis'!$C$12/12)^-('Analysis'!$C$13*12))))</x:f>
        <x:v>0</x:v>
      </x:c>
      <x:c r="H384" s="16" t="n">
        <x:f>IF(B384&gt;='Analysis'!$C$13*12,0,MAX(0,D384-G384))</x:f>
        <x:v>0</x:v>
      </x:c>
    </x:row>
    <x:row r="385" ht="22" customHeight="1">
      <x:c r="A385" s="2"/>
      <x:c r="B385" s="41" t="n">
        <x:f>380</x:f>
        <x:v>380</x:v>
      </x:c>
      <x:c r="C385" s="41" t="n">
        <x:f>ROUNDUP(B385/12,0)</x:f>
        <x:v>32</x:v>
      </x:c>
      <x:c r="D385" s="16" t="n">
        <x:f>H384</x:f>
        <x:v>0</x:v>
      </x:c>
      <x:c r="E385" s="32" t="n">
        <x:f>IF(B385&gt;'Analysis'!$C$13*12,0,'Analysis'!$G$22)</x:f>
        <x:v>0</x:v>
      </x:c>
      <x:c r="F385" s="32" t="n">
        <x:f>MAX(0,E385-G385)</x:f>
        <x:v>0</x:v>
      </x:c>
      <x:c r="G385" s="16" t="n">
        <x:f>IF(OR('Analysis'!$G$21=0,B385&gt;'Analysis'!$C$13*12),0,IF('Analysis'!$C$12=0,'Analysis'!$G$21/('Analysis'!$C$13*12),'Analysis'!$G$21*(1+'Analysis'!$C$12/12)^-('Analysis'!$C$13*12-B385)*(1-(1+'Analysis'!$C$12/12)^-1)/(1-(1+'Analysis'!$C$12/12)^-('Analysis'!$C$13*12))))</x:f>
        <x:v>0</x:v>
      </x:c>
      <x:c r="H385" s="16" t="n">
        <x:f>IF(B385&gt;='Analysis'!$C$13*12,0,MAX(0,D385-G385))</x:f>
        <x:v>0</x:v>
      </x:c>
    </x:row>
    <x:row r="386" ht="22" customHeight="1">
      <x:c r="A386" s="2"/>
      <x:c r="B386" s="41" t="n">
        <x:f>381</x:f>
        <x:v>381</x:v>
      </x:c>
      <x:c r="C386" s="41" t="n">
        <x:f>ROUNDUP(B386/12,0)</x:f>
        <x:v>32</x:v>
      </x:c>
      <x:c r="D386" s="16" t="n">
        <x:f>H385</x:f>
        <x:v>0</x:v>
      </x:c>
      <x:c r="E386" s="32" t="n">
        <x:f>IF(B386&gt;'Analysis'!$C$13*12,0,'Analysis'!$G$22)</x:f>
        <x:v>0</x:v>
      </x:c>
      <x:c r="F386" s="32" t="n">
        <x:f>MAX(0,E386-G386)</x:f>
        <x:v>0</x:v>
      </x:c>
      <x:c r="G386" s="16" t="n">
        <x:f>IF(OR('Analysis'!$G$21=0,B386&gt;'Analysis'!$C$13*12),0,IF('Analysis'!$C$12=0,'Analysis'!$G$21/('Analysis'!$C$13*12),'Analysis'!$G$21*(1+'Analysis'!$C$12/12)^-('Analysis'!$C$13*12-B386)*(1-(1+'Analysis'!$C$12/12)^-1)/(1-(1+'Analysis'!$C$12/12)^-('Analysis'!$C$13*12))))</x:f>
        <x:v>0</x:v>
      </x:c>
      <x:c r="H386" s="16" t="n">
        <x:f>IF(B386&gt;='Analysis'!$C$13*12,0,MAX(0,D386-G386))</x:f>
        <x:v>0</x:v>
      </x:c>
    </x:row>
    <x:row r="387" ht="22" customHeight="1">
      <x:c r="A387" s="2"/>
      <x:c r="B387" s="41" t="n">
        <x:f>382</x:f>
        <x:v>382</x:v>
      </x:c>
      <x:c r="C387" s="41" t="n">
        <x:f>ROUNDUP(B387/12,0)</x:f>
        <x:v>32</x:v>
      </x:c>
      <x:c r="D387" s="16" t="n">
        <x:f>H386</x:f>
        <x:v>0</x:v>
      </x:c>
      <x:c r="E387" s="32" t="n">
        <x:f>IF(B387&gt;'Analysis'!$C$13*12,0,'Analysis'!$G$22)</x:f>
        <x:v>0</x:v>
      </x:c>
      <x:c r="F387" s="32" t="n">
        <x:f>MAX(0,E387-G387)</x:f>
        <x:v>0</x:v>
      </x:c>
      <x:c r="G387" s="16" t="n">
        <x:f>IF(OR('Analysis'!$G$21=0,B387&gt;'Analysis'!$C$13*12),0,IF('Analysis'!$C$12=0,'Analysis'!$G$21/('Analysis'!$C$13*12),'Analysis'!$G$21*(1+'Analysis'!$C$12/12)^-('Analysis'!$C$13*12-B387)*(1-(1+'Analysis'!$C$12/12)^-1)/(1-(1+'Analysis'!$C$12/12)^-('Analysis'!$C$13*12))))</x:f>
        <x:v>0</x:v>
      </x:c>
      <x:c r="H387" s="16" t="n">
        <x:f>IF(B387&gt;='Analysis'!$C$13*12,0,MAX(0,D387-G387))</x:f>
        <x:v>0</x:v>
      </x:c>
    </x:row>
    <x:row r="388" ht="22" customHeight="1">
      <x:c r="A388" s="2"/>
      <x:c r="B388" s="41" t="n">
        <x:f>383</x:f>
        <x:v>383</x:v>
      </x:c>
      <x:c r="C388" s="41" t="n">
        <x:f>ROUNDUP(B388/12,0)</x:f>
        <x:v>32</x:v>
      </x:c>
      <x:c r="D388" s="16" t="n">
        <x:f>H387</x:f>
        <x:v>0</x:v>
      </x:c>
      <x:c r="E388" s="32" t="n">
        <x:f>IF(B388&gt;'Analysis'!$C$13*12,0,'Analysis'!$G$22)</x:f>
        <x:v>0</x:v>
      </x:c>
      <x:c r="F388" s="32" t="n">
        <x:f>MAX(0,E388-G388)</x:f>
        <x:v>0</x:v>
      </x:c>
      <x:c r="G388" s="16" t="n">
        <x:f>IF(OR('Analysis'!$G$21=0,B388&gt;'Analysis'!$C$13*12),0,IF('Analysis'!$C$12=0,'Analysis'!$G$21/('Analysis'!$C$13*12),'Analysis'!$G$21*(1+'Analysis'!$C$12/12)^-('Analysis'!$C$13*12-B388)*(1-(1+'Analysis'!$C$12/12)^-1)/(1-(1+'Analysis'!$C$12/12)^-('Analysis'!$C$13*12))))</x:f>
        <x:v>0</x:v>
      </x:c>
      <x:c r="H388" s="16" t="n">
        <x:f>IF(B388&gt;='Analysis'!$C$13*12,0,MAX(0,D388-G388))</x:f>
        <x:v>0</x:v>
      </x:c>
    </x:row>
    <x:row r="389" ht="22" customHeight="1">
      <x:c r="A389" s="2"/>
      <x:c r="B389" s="41" t="n">
        <x:f>384</x:f>
        <x:v>384</x:v>
      </x:c>
      <x:c r="C389" s="41" t="n">
        <x:f>ROUNDUP(B389/12,0)</x:f>
        <x:v>32</x:v>
      </x:c>
      <x:c r="D389" s="16" t="n">
        <x:f>H388</x:f>
        <x:v>0</x:v>
      </x:c>
      <x:c r="E389" s="32" t="n">
        <x:f>IF(B389&gt;'Analysis'!$C$13*12,0,'Analysis'!$G$22)</x:f>
        <x:v>0</x:v>
      </x:c>
      <x:c r="F389" s="32" t="n">
        <x:f>MAX(0,E389-G389)</x:f>
        <x:v>0</x:v>
      </x:c>
      <x:c r="G389" s="16" t="n">
        <x:f>IF(OR('Analysis'!$G$21=0,B389&gt;'Analysis'!$C$13*12),0,IF('Analysis'!$C$12=0,'Analysis'!$G$21/('Analysis'!$C$13*12),'Analysis'!$G$21*(1+'Analysis'!$C$12/12)^-('Analysis'!$C$13*12-B389)*(1-(1+'Analysis'!$C$12/12)^-1)/(1-(1+'Analysis'!$C$12/12)^-('Analysis'!$C$13*12))))</x:f>
        <x:v>0</x:v>
      </x:c>
      <x:c r="H389" s="16" t="n">
        <x:f>IF(B389&gt;='Analysis'!$C$13*12,0,MAX(0,D389-G389))</x:f>
        <x:v>0</x:v>
      </x:c>
    </x:row>
    <x:row r="390" ht="22" customHeight="1">
      <x:c r="A390" s="2"/>
      <x:c r="B390" s="41" t="n">
        <x:f>385</x:f>
        <x:v>385</x:v>
      </x:c>
      <x:c r="C390" s="41" t="n">
        <x:f>ROUNDUP(B390/12,0)</x:f>
        <x:v>33</x:v>
      </x:c>
      <x:c r="D390" s="16" t="n">
        <x:f>H389</x:f>
        <x:v>0</x:v>
      </x:c>
      <x:c r="E390" s="32" t="n">
        <x:f>IF(B390&gt;'Analysis'!$C$13*12,0,'Analysis'!$G$22)</x:f>
        <x:v>0</x:v>
      </x:c>
      <x:c r="F390" s="32" t="n">
        <x:f>MAX(0,E390-G390)</x:f>
        <x:v>0</x:v>
      </x:c>
      <x:c r="G390" s="16" t="n">
        <x:f>IF(OR('Analysis'!$G$21=0,B390&gt;'Analysis'!$C$13*12),0,IF('Analysis'!$C$12=0,'Analysis'!$G$21/('Analysis'!$C$13*12),'Analysis'!$G$21*(1+'Analysis'!$C$12/12)^-('Analysis'!$C$13*12-B390)*(1-(1+'Analysis'!$C$12/12)^-1)/(1-(1+'Analysis'!$C$12/12)^-('Analysis'!$C$13*12))))</x:f>
        <x:v>0</x:v>
      </x:c>
      <x:c r="H390" s="16" t="n">
        <x:f>IF(B390&gt;='Analysis'!$C$13*12,0,MAX(0,D390-G390))</x:f>
        <x:v>0</x:v>
      </x:c>
    </x:row>
    <x:row r="391" ht="22" customHeight="1">
      <x:c r="A391" s="2"/>
      <x:c r="B391" s="41" t="n">
        <x:f>386</x:f>
        <x:v>386</x:v>
      </x:c>
      <x:c r="C391" s="41" t="n">
        <x:f>ROUNDUP(B391/12,0)</x:f>
        <x:v>33</x:v>
      </x:c>
      <x:c r="D391" s="16" t="n">
        <x:f>H390</x:f>
        <x:v>0</x:v>
      </x:c>
      <x:c r="E391" s="32" t="n">
        <x:f>IF(B391&gt;'Analysis'!$C$13*12,0,'Analysis'!$G$22)</x:f>
        <x:v>0</x:v>
      </x:c>
      <x:c r="F391" s="32" t="n">
        <x:f>MAX(0,E391-G391)</x:f>
        <x:v>0</x:v>
      </x:c>
      <x:c r="G391" s="16" t="n">
        <x:f>IF(OR('Analysis'!$G$21=0,B391&gt;'Analysis'!$C$13*12),0,IF('Analysis'!$C$12=0,'Analysis'!$G$21/('Analysis'!$C$13*12),'Analysis'!$G$21*(1+'Analysis'!$C$12/12)^-('Analysis'!$C$13*12-B391)*(1-(1+'Analysis'!$C$12/12)^-1)/(1-(1+'Analysis'!$C$12/12)^-('Analysis'!$C$13*12))))</x:f>
        <x:v>0</x:v>
      </x:c>
      <x:c r="H391" s="16" t="n">
        <x:f>IF(B391&gt;='Analysis'!$C$13*12,0,MAX(0,D391-G391))</x:f>
        <x:v>0</x:v>
      </x:c>
    </x:row>
    <x:row r="392" ht="22" customHeight="1">
      <x:c r="A392" s="2"/>
      <x:c r="B392" s="41" t="n">
        <x:f>387</x:f>
        <x:v>387</x:v>
      </x:c>
      <x:c r="C392" s="41" t="n">
        <x:f>ROUNDUP(B392/12,0)</x:f>
        <x:v>33</x:v>
      </x:c>
      <x:c r="D392" s="16" t="n">
        <x:f>H391</x:f>
        <x:v>0</x:v>
      </x:c>
      <x:c r="E392" s="32" t="n">
        <x:f>IF(B392&gt;'Analysis'!$C$13*12,0,'Analysis'!$G$22)</x:f>
        <x:v>0</x:v>
      </x:c>
      <x:c r="F392" s="32" t="n">
        <x:f>MAX(0,E392-G392)</x:f>
        <x:v>0</x:v>
      </x:c>
      <x:c r="G392" s="16" t="n">
        <x:f>IF(OR('Analysis'!$G$21=0,B392&gt;'Analysis'!$C$13*12),0,IF('Analysis'!$C$12=0,'Analysis'!$G$21/('Analysis'!$C$13*12),'Analysis'!$G$21*(1+'Analysis'!$C$12/12)^-('Analysis'!$C$13*12-B392)*(1-(1+'Analysis'!$C$12/12)^-1)/(1-(1+'Analysis'!$C$12/12)^-('Analysis'!$C$13*12))))</x:f>
        <x:v>0</x:v>
      </x:c>
      <x:c r="H392" s="16" t="n">
        <x:f>IF(B392&gt;='Analysis'!$C$13*12,0,MAX(0,D392-G392))</x:f>
        <x:v>0</x:v>
      </x:c>
    </x:row>
    <x:row r="393" ht="22" customHeight="1">
      <x:c r="A393" s="2"/>
      <x:c r="B393" s="41" t="n">
        <x:f>388</x:f>
        <x:v>388</x:v>
      </x:c>
      <x:c r="C393" s="41" t="n">
        <x:f>ROUNDUP(B393/12,0)</x:f>
        <x:v>33</x:v>
      </x:c>
      <x:c r="D393" s="16" t="n">
        <x:f>H392</x:f>
        <x:v>0</x:v>
      </x:c>
      <x:c r="E393" s="32" t="n">
        <x:f>IF(B393&gt;'Analysis'!$C$13*12,0,'Analysis'!$G$22)</x:f>
        <x:v>0</x:v>
      </x:c>
      <x:c r="F393" s="32" t="n">
        <x:f>MAX(0,E393-G393)</x:f>
        <x:v>0</x:v>
      </x:c>
      <x:c r="G393" s="16" t="n">
        <x:f>IF(OR('Analysis'!$G$21=0,B393&gt;'Analysis'!$C$13*12),0,IF('Analysis'!$C$12=0,'Analysis'!$G$21/('Analysis'!$C$13*12),'Analysis'!$G$21*(1+'Analysis'!$C$12/12)^-('Analysis'!$C$13*12-B393)*(1-(1+'Analysis'!$C$12/12)^-1)/(1-(1+'Analysis'!$C$12/12)^-('Analysis'!$C$13*12))))</x:f>
        <x:v>0</x:v>
      </x:c>
      <x:c r="H393" s="16" t="n">
        <x:f>IF(B393&gt;='Analysis'!$C$13*12,0,MAX(0,D393-G393))</x:f>
        <x:v>0</x:v>
      </x:c>
    </x:row>
    <x:row r="394" ht="22" customHeight="1">
      <x:c r="A394" s="2"/>
      <x:c r="B394" s="41" t="n">
        <x:f>389</x:f>
        <x:v>389</x:v>
      </x:c>
      <x:c r="C394" s="41" t="n">
        <x:f>ROUNDUP(B394/12,0)</x:f>
        <x:v>33</x:v>
      </x:c>
      <x:c r="D394" s="16" t="n">
        <x:f>H393</x:f>
        <x:v>0</x:v>
      </x:c>
      <x:c r="E394" s="32" t="n">
        <x:f>IF(B394&gt;'Analysis'!$C$13*12,0,'Analysis'!$G$22)</x:f>
        <x:v>0</x:v>
      </x:c>
      <x:c r="F394" s="32" t="n">
        <x:f>MAX(0,E394-G394)</x:f>
        <x:v>0</x:v>
      </x:c>
      <x:c r="G394" s="16" t="n">
        <x:f>IF(OR('Analysis'!$G$21=0,B394&gt;'Analysis'!$C$13*12),0,IF('Analysis'!$C$12=0,'Analysis'!$G$21/('Analysis'!$C$13*12),'Analysis'!$G$21*(1+'Analysis'!$C$12/12)^-('Analysis'!$C$13*12-B394)*(1-(1+'Analysis'!$C$12/12)^-1)/(1-(1+'Analysis'!$C$12/12)^-('Analysis'!$C$13*12))))</x:f>
        <x:v>0</x:v>
      </x:c>
      <x:c r="H394" s="16" t="n">
        <x:f>IF(B394&gt;='Analysis'!$C$13*12,0,MAX(0,D394-G394))</x:f>
        <x:v>0</x:v>
      </x:c>
    </x:row>
    <x:row r="395" ht="22" customHeight="1">
      <x:c r="A395" s="2"/>
      <x:c r="B395" s="41" t="n">
        <x:f>390</x:f>
        <x:v>390</x:v>
      </x:c>
      <x:c r="C395" s="41" t="n">
        <x:f>ROUNDUP(B395/12,0)</x:f>
        <x:v>33</x:v>
      </x:c>
      <x:c r="D395" s="16" t="n">
        <x:f>H394</x:f>
        <x:v>0</x:v>
      </x:c>
      <x:c r="E395" s="32" t="n">
        <x:f>IF(B395&gt;'Analysis'!$C$13*12,0,'Analysis'!$G$22)</x:f>
        <x:v>0</x:v>
      </x:c>
      <x:c r="F395" s="32" t="n">
        <x:f>MAX(0,E395-G395)</x:f>
        <x:v>0</x:v>
      </x:c>
      <x:c r="G395" s="16" t="n">
        <x:f>IF(OR('Analysis'!$G$21=0,B395&gt;'Analysis'!$C$13*12),0,IF('Analysis'!$C$12=0,'Analysis'!$G$21/('Analysis'!$C$13*12),'Analysis'!$G$21*(1+'Analysis'!$C$12/12)^-('Analysis'!$C$13*12-B395)*(1-(1+'Analysis'!$C$12/12)^-1)/(1-(1+'Analysis'!$C$12/12)^-('Analysis'!$C$13*12))))</x:f>
        <x:v>0</x:v>
      </x:c>
      <x:c r="H395" s="16" t="n">
        <x:f>IF(B395&gt;='Analysis'!$C$13*12,0,MAX(0,D395-G395))</x:f>
        <x:v>0</x:v>
      </x:c>
    </x:row>
    <x:row r="396" ht="22" customHeight="1">
      <x:c r="A396" s="2"/>
      <x:c r="B396" s="41" t="n">
        <x:f>391</x:f>
        <x:v>391</x:v>
      </x:c>
      <x:c r="C396" s="41" t="n">
        <x:f>ROUNDUP(B396/12,0)</x:f>
        <x:v>33</x:v>
      </x:c>
      <x:c r="D396" s="16" t="n">
        <x:f>H395</x:f>
        <x:v>0</x:v>
      </x:c>
      <x:c r="E396" s="32" t="n">
        <x:f>IF(B396&gt;'Analysis'!$C$13*12,0,'Analysis'!$G$22)</x:f>
        <x:v>0</x:v>
      </x:c>
      <x:c r="F396" s="32" t="n">
        <x:f>MAX(0,E396-G396)</x:f>
        <x:v>0</x:v>
      </x:c>
      <x:c r="G396" s="16" t="n">
        <x:f>IF(OR('Analysis'!$G$21=0,B396&gt;'Analysis'!$C$13*12),0,IF('Analysis'!$C$12=0,'Analysis'!$G$21/('Analysis'!$C$13*12),'Analysis'!$G$21*(1+'Analysis'!$C$12/12)^-('Analysis'!$C$13*12-B396)*(1-(1+'Analysis'!$C$12/12)^-1)/(1-(1+'Analysis'!$C$12/12)^-('Analysis'!$C$13*12))))</x:f>
        <x:v>0</x:v>
      </x:c>
      <x:c r="H396" s="16" t="n">
        <x:f>IF(B396&gt;='Analysis'!$C$13*12,0,MAX(0,D396-G396))</x:f>
        <x:v>0</x:v>
      </x:c>
    </x:row>
    <x:row r="397" ht="22" customHeight="1">
      <x:c r="A397" s="2"/>
      <x:c r="B397" s="41" t="n">
        <x:f>392</x:f>
        <x:v>392</x:v>
      </x:c>
      <x:c r="C397" s="41" t="n">
        <x:f>ROUNDUP(B397/12,0)</x:f>
        <x:v>33</x:v>
      </x:c>
      <x:c r="D397" s="16" t="n">
        <x:f>H396</x:f>
        <x:v>0</x:v>
      </x:c>
      <x:c r="E397" s="32" t="n">
        <x:f>IF(B397&gt;'Analysis'!$C$13*12,0,'Analysis'!$G$22)</x:f>
        <x:v>0</x:v>
      </x:c>
      <x:c r="F397" s="32" t="n">
        <x:f>MAX(0,E397-G397)</x:f>
        <x:v>0</x:v>
      </x:c>
      <x:c r="G397" s="16" t="n">
        <x:f>IF(OR('Analysis'!$G$21=0,B397&gt;'Analysis'!$C$13*12),0,IF('Analysis'!$C$12=0,'Analysis'!$G$21/('Analysis'!$C$13*12),'Analysis'!$G$21*(1+'Analysis'!$C$12/12)^-('Analysis'!$C$13*12-B397)*(1-(1+'Analysis'!$C$12/12)^-1)/(1-(1+'Analysis'!$C$12/12)^-('Analysis'!$C$13*12))))</x:f>
        <x:v>0</x:v>
      </x:c>
      <x:c r="H397" s="16" t="n">
        <x:f>IF(B397&gt;='Analysis'!$C$13*12,0,MAX(0,D397-G397))</x:f>
        <x:v>0</x:v>
      </x:c>
    </x:row>
    <x:row r="398" ht="22" customHeight="1">
      <x:c r="A398" s="2"/>
      <x:c r="B398" s="41" t="n">
        <x:f>393</x:f>
        <x:v>393</x:v>
      </x:c>
      <x:c r="C398" s="41" t="n">
        <x:f>ROUNDUP(B398/12,0)</x:f>
        <x:v>33</x:v>
      </x:c>
      <x:c r="D398" s="16" t="n">
        <x:f>H397</x:f>
        <x:v>0</x:v>
      </x:c>
      <x:c r="E398" s="32" t="n">
        <x:f>IF(B398&gt;'Analysis'!$C$13*12,0,'Analysis'!$G$22)</x:f>
        <x:v>0</x:v>
      </x:c>
      <x:c r="F398" s="32" t="n">
        <x:f>MAX(0,E398-G398)</x:f>
        <x:v>0</x:v>
      </x:c>
      <x:c r="G398" s="16" t="n">
        <x:f>IF(OR('Analysis'!$G$21=0,B398&gt;'Analysis'!$C$13*12),0,IF('Analysis'!$C$12=0,'Analysis'!$G$21/('Analysis'!$C$13*12),'Analysis'!$G$21*(1+'Analysis'!$C$12/12)^-('Analysis'!$C$13*12-B398)*(1-(1+'Analysis'!$C$12/12)^-1)/(1-(1+'Analysis'!$C$12/12)^-('Analysis'!$C$13*12))))</x:f>
        <x:v>0</x:v>
      </x:c>
      <x:c r="H398" s="16" t="n">
        <x:f>IF(B398&gt;='Analysis'!$C$13*12,0,MAX(0,D398-G398))</x:f>
        <x:v>0</x:v>
      </x:c>
    </x:row>
    <x:row r="399" ht="22" customHeight="1">
      <x:c r="A399" s="2"/>
      <x:c r="B399" s="41" t="n">
        <x:f>394</x:f>
        <x:v>394</x:v>
      </x:c>
      <x:c r="C399" s="41" t="n">
        <x:f>ROUNDUP(B399/12,0)</x:f>
        <x:v>33</x:v>
      </x:c>
      <x:c r="D399" s="16" t="n">
        <x:f>H398</x:f>
        <x:v>0</x:v>
      </x:c>
      <x:c r="E399" s="32" t="n">
        <x:f>IF(B399&gt;'Analysis'!$C$13*12,0,'Analysis'!$G$22)</x:f>
        <x:v>0</x:v>
      </x:c>
      <x:c r="F399" s="32" t="n">
        <x:f>MAX(0,E399-G399)</x:f>
        <x:v>0</x:v>
      </x:c>
      <x:c r="G399" s="16" t="n">
        <x:f>IF(OR('Analysis'!$G$21=0,B399&gt;'Analysis'!$C$13*12),0,IF('Analysis'!$C$12=0,'Analysis'!$G$21/('Analysis'!$C$13*12),'Analysis'!$G$21*(1+'Analysis'!$C$12/12)^-('Analysis'!$C$13*12-B399)*(1-(1+'Analysis'!$C$12/12)^-1)/(1-(1+'Analysis'!$C$12/12)^-('Analysis'!$C$13*12))))</x:f>
        <x:v>0</x:v>
      </x:c>
      <x:c r="H399" s="16" t="n">
        <x:f>IF(B399&gt;='Analysis'!$C$13*12,0,MAX(0,D399-G399))</x:f>
        <x:v>0</x:v>
      </x:c>
    </x:row>
    <x:row r="400" ht="22" customHeight="1">
      <x:c r="A400" s="2"/>
      <x:c r="B400" s="41" t="n">
        <x:f>395</x:f>
        <x:v>395</x:v>
      </x:c>
      <x:c r="C400" s="41" t="n">
        <x:f>ROUNDUP(B400/12,0)</x:f>
        <x:v>33</x:v>
      </x:c>
      <x:c r="D400" s="16" t="n">
        <x:f>H399</x:f>
        <x:v>0</x:v>
      </x:c>
      <x:c r="E400" s="32" t="n">
        <x:f>IF(B400&gt;'Analysis'!$C$13*12,0,'Analysis'!$G$22)</x:f>
        <x:v>0</x:v>
      </x:c>
      <x:c r="F400" s="32" t="n">
        <x:f>MAX(0,E400-G400)</x:f>
        <x:v>0</x:v>
      </x:c>
      <x:c r="G400" s="16" t="n">
        <x:f>IF(OR('Analysis'!$G$21=0,B400&gt;'Analysis'!$C$13*12),0,IF('Analysis'!$C$12=0,'Analysis'!$G$21/('Analysis'!$C$13*12),'Analysis'!$G$21*(1+'Analysis'!$C$12/12)^-('Analysis'!$C$13*12-B400)*(1-(1+'Analysis'!$C$12/12)^-1)/(1-(1+'Analysis'!$C$12/12)^-('Analysis'!$C$13*12))))</x:f>
        <x:v>0</x:v>
      </x:c>
      <x:c r="H400" s="16" t="n">
        <x:f>IF(B400&gt;='Analysis'!$C$13*12,0,MAX(0,D400-G400))</x:f>
        <x:v>0</x:v>
      </x:c>
    </x:row>
    <x:row r="401" ht="22" customHeight="1">
      <x:c r="A401" s="2"/>
      <x:c r="B401" s="41" t="n">
        <x:f>396</x:f>
        <x:v>396</x:v>
      </x:c>
      <x:c r="C401" s="41" t="n">
        <x:f>ROUNDUP(B401/12,0)</x:f>
        <x:v>33</x:v>
      </x:c>
      <x:c r="D401" s="16" t="n">
        <x:f>H400</x:f>
        <x:v>0</x:v>
      </x:c>
      <x:c r="E401" s="32" t="n">
        <x:f>IF(B401&gt;'Analysis'!$C$13*12,0,'Analysis'!$G$22)</x:f>
        <x:v>0</x:v>
      </x:c>
      <x:c r="F401" s="32" t="n">
        <x:f>MAX(0,E401-G401)</x:f>
        <x:v>0</x:v>
      </x:c>
      <x:c r="G401" s="16" t="n">
        <x:f>IF(OR('Analysis'!$G$21=0,B401&gt;'Analysis'!$C$13*12),0,IF('Analysis'!$C$12=0,'Analysis'!$G$21/('Analysis'!$C$13*12),'Analysis'!$G$21*(1+'Analysis'!$C$12/12)^-('Analysis'!$C$13*12-B401)*(1-(1+'Analysis'!$C$12/12)^-1)/(1-(1+'Analysis'!$C$12/12)^-('Analysis'!$C$13*12))))</x:f>
        <x:v>0</x:v>
      </x:c>
      <x:c r="H401" s="16" t="n">
        <x:f>IF(B401&gt;='Analysis'!$C$13*12,0,MAX(0,D401-G401))</x:f>
        <x:v>0</x:v>
      </x:c>
    </x:row>
    <x:row r="402" ht="22" customHeight="1">
      <x:c r="A402" s="2"/>
      <x:c r="B402" s="41" t="n">
        <x:f>397</x:f>
        <x:v>397</x:v>
      </x:c>
      <x:c r="C402" s="41" t="n">
        <x:f>ROUNDUP(B402/12,0)</x:f>
        <x:v>34</x:v>
      </x:c>
      <x:c r="D402" s="16" t="n">
        <x:f>H401</x:f>
        <x:v>0</x:v>
      </x:c>
      <x:c r="E402" s="32" t="n">
        <x:f>IF(B402&gt;'Analysis'!$C$13*12,0,'Analysis'!$G$22)</x:f>
        <x:v>0</x:v>
      </x:c>
      <x:c r="F402" s="32" t="n">
        <x:f>MAX(0,E402-G402)</x:f>
        <x:v>0</x:v>
      </x:c>
      <x:c r="G402" s="16" t="n">
        <x:f>IF(OR('Analysis'!$G$21=0,B402&gt;'Analysis'!$C$13*12),0,IF('Analysis'!$C$12=0,'Analysis'!$G$21/('Analysis'!$C$13*12),'Analysis'!$G$21*(1+'Analysis'!$C$12/12)^-('Analysis'!$C$13*12-B402)*(1-(1+'Analysis'!$C$12/12)^-1)/(1-(1+'Analysis'!$C$12/12)^-('Analysis'!$C$13*12))))</x:f>
        <x:v>0</x:v>
      </x:c>
      <x:c r="H402" s="16" t="n">
        <x:f>IF(B402&gt;='Analysis'!$C$13*12,0,MAX(0,D402-G402))</x:f>
        <x:v>0</x:v>
      </x:c>
    </x:row>
    <x:row r="403" ht="22" customHeight="1">
      <x:c r="A403" s="2"/>
      <x:c r="B403" s="41" t="n">
        <x:f>398</x:f>
        <x:v>398</x:v>
      </x:c>
      <x:c r="C403" s="41" t="n">
        <x:f>ROUNDUP(B403/12,0)</x:f>
        <x:v>34</x:v>
      </x:c>
      <x:c r="D403" s="16" t="n">
        <x:f>H402</x:f>
        <x:v>0</x:v>
      </x:c>
      <x:c r="E403" s="32" t="n">
        <x:f>IF(B403&gt;'Analysis'!$C$13*12,0,'Analysis'!$G$22)</x:f>
        <x:v>0</x:v>
      </x:c>
      <x:c r="F403" s="32" t="n">
        <x:f>MAX(0,E403-G403)</x:f>
        <x:v>0</x:v>
      </x:c>
      <x:c r="G403" s="16" t="n">
        <x:f>IF(OR('Analysis'!$G$21=0,B403&gt;'Analysis'!$C$13*12),0,IF('Analysis'!$C$12=0,'Analysis'!$G$21/('Analysis'!$C$13*12),'Analysis'!$G$21*(1+'Analysis'!$C$12/12)^-('Analysis'!$C$13*12-B403)*(1-(1+'Analysis'!$C$12/12)^-1)/(1-(1+'Analysis'!$C$12/12)^-('Analysis'!$C$13*12))))</x:f>
        <x:v>0</x:v>
      </x:c>
      <x:c r="H403" s="16" t="n">
        <x:f>IF(B403&gt;='Analysis'!$C$13*12,0,MAX(0,D403-G403))</x:f>
        <x:v>0</x:v>
      </x:c>
    </x:row>
    <x:row r="404" ht="22" customHeight="1">
      <x:c r="A404" s="2"/>
      <x:c r="B404" s="41" t="n">
        <x:f>399</x:f>
        <x:v>399</x:v>
      </x:c>
      <x:c r="C404" s="41" t="n">
        <x:f>ROUNDUP(B404/12,0)</x:f>
        <x:v>34</x:v>
      </x:c>
      <x:c r="D404" s="16" t="n">
        <x:f>H403</x:f>
        <x:v>0</x:v>
      </x:c>
      <x:c r="E404" s="32" t="n">
        <x:f>IF(B404&gt;'Analysis'!$C$13*12,0,'Analysis'!$G$22)</x:f>
        <x:v>0</x:v>
      </x:c>
      <x:c r="F404" s="32" t="n">
        <x:f>MAX(0,E404-G404)</x:f>
        <x:v>0</x:v>
      </x:c>
      <x:c r="G404" s="16" t="n">
        <x:f>IF(OR('Analysis'!$G$21=0,B404&gt;'Analysis'!$C$13*12),0,IF('Analysis'!$C$12=0,'Analysis'!$G$21/('Analysis'!$C$13*12),'Analysis'!$G$21*(1+'Analysis'!$C$12/12)^-('Analysis'!$C$13*12-B404)*(1-(1+'Analysis'!$C$12/12)^-1)/(1-(1+'Analysis'!$C$12/12)^-('Analysis'!$C$13*12))))</x:f>
        <x:v>0</x:v>
      </x:c>
      <x:c r="H404" s="16" t="n">
        <x:f>IF(B404&gt;='Analysis'!$C$13*12,0,MAX(0,D404-G404))</x:f>
        <x:v>0</x:v>
      </x:c>
    </x:row>
    <x:row r="405" ht="22" customHeight="1">
      <x:c r="A405" s="2"/>
      <x:c r="B405" s="41" t="n">
        <x:f>400</x:f>
        <x:v>400</x:v>
      </x:c>
      <x:c r="C405" s="41" t="n">
        <x:f>ROUNDUP(B405/12,0)</x:f>
        <x:v>34</x:v>
      </x:c>
      <x:c r="D405" s="16" t="n">
        <x:f>H404</x:f>
        <x:v>0</x:v>
      </x:c>
      <x:c r="E405" s="32" t="n">
        <x:f>IF(B405&gt;'Analysis'!$C$13*12,0,'Analysis'!$G$22)</x:f>
        <x:v>0</x:v>
      </x:c>
      <x:c r="F405" s="32" t="n">
        <x:f>MAX(0,E405-G405)</x:f>
        <x:v>0</x:v>
      </x:c>
      <x:c r="G405" s="16" t="n">
        <x:f>IF(OR('Analysis'!$G$21=0,B405&gt;'Analysis'!$C$13*12),0,IF('Analysis'!$C$12=0,'Analysis'!$G$21/('Analysis'!$C$13*12),'Analysis'!$G$21*(1+'Analysis'!$C$12/12)^-('Analysis'!$C$13*12-B405)*(1-(1+'Analysis'!$C$12/12)^-1)/(1-(1+'Analysis'!$C$12/12)^-('Analysis'!$C$13*12))))</x:f>
        <x:v>0</x:v>
      </x:c>
      <x:c r="H405" s="16" t="n">
        <x:f>IF(B405&gt;='Analysis'!$C$13*12,0,MAX(0,D405-G405))</x:f>
        <x:v>0</x:v>
      </x:c>
    </x:row>
    <x:row r="406" ht="22" customHeight="1">
      <x:c r="A406" s="2"/>
      <x:c r="B406" s="41" t="n">
        <x:f>401</x:f>
        <x:v>401</x:v>
      </x:c>
      <x:c r="C406" s="41" t="n">
        <x:f>ROUNDUP(B406/12,0)</x:f>
        <x:v>34</x:v>
      </x:c>
      <x:c r="D406" s="16" t="n">
        <x:f>H405</x:f>
        <x:v>0</x:v>
      </x:c>
      <x:c r="E406" s="32" t="n">
        <x:f>IF(B406&gt;'Analysis'!$C$13*12,0,'Analysis'!$G$22)</x:f>
        <x:v>0</x:v>
      </x:c>
      <x:c r="F406" s="32" t="n">
        <x:f>MAX(0,E406-G406)</x:f>
        <x:v>0</x:v>
      </x:c>
      <x:c r="G406" s="16" t="n">
        <x:f>IF(OR('Analysis'!$G$21=0,B406&gt;'Analysis'!$C$13*12),0,IF('Analysis'!$C$12=0,'Analysis'!$G$21/('Analysis'!$C$13*12),'Analysis'!$G$21*(1+'Analysis'!$C$12/12)^-('Analysis'!$C$13*12-B406)*(1-(1+'Analysis'!$C$12/12)^-1)/(1-(1+'Analysis'!$C$12/12)^-('Analysis'!$C$13*12))))</x:f>
        <x:v>0</x:v>
      </x:c>
      <x:c r="H406" s="16" t="n">
        <x:f>IF(B406&gt;='Analysis'!$C$13*12,0,MAX(0,D406-G406))</x:f>
        <x:v>0</x:v>
      </x:c>
    </x:row>
    <x:row r="407" ht="22" customHeight="1">
      <x:c r="A407" s="2"/>
      <x:c r="B407" s="41" t="n">
        <x:f>402</x:f>
        <x:v>402</x:v>
      </x:c>
      <x:c r="C407" s="41" t="n">
        <x:f>ROUNDUP(B407/12,0)</x:f>
        <x:v>34</x:v>
      </x:c>
      <x:c r="D407" s="16" t="n">
        <x:f>H406</x:f>
        <x:v>0</x:v>
      </x:c>
      <x:c r="E407" s="32" t="n">
        <x:f>IF(B407&gt;'Analysis'!$C$13*12,0,'Analysis'!$G$22)</x:f>
        <x:v>0</x:v>
      </x:c>
      <x:c r="F407" s="32" t="n">
        <x:f>MAX(0,E407-G407)</x:f>
        <x:v>0</x:v>
      </x:c>
      <x:c r="G407" s="16" t="n">
        <x:f>IF(OR('Analysis'!$G$21=0,B407&gt;'Analysis'!$C$13*12),0,IF('Analysis'!$C$12=0,'Analysis'!$G$21/('Analysis'!$C$13*12),'Analysis'!$G$21*(1+'Analysis'!$C$12/12)^-('Analysis'!$C$13*12-B407)*(1-(1+'Analysis'!$C$12/12)^-1)/(1-(1+'Analysis'!$C$12/12)^-('Analysis'!$C$13*12))))</x:f>
        <x:v>0</x:v>
      </x:c>
      <x:c r="H407" s="16" t="n">
        <x:f>IF(B407&gt;='Analysis'!$C$13*12,0,MAX(0,D407-G407))</x:f>
        <x:v>0</x:v>
      </x:c>
    </x:row>
    <x:row r="408" ht="22" customHeight="1">
      <x:c r="A408" s="2"/>
      <x:c r="B408" s="41" t="n">
        <x:f>403</x:f>
        <x:v>403</x:v>
      </x:c>
      <x:c r="C408" s="41" t="n">
        <x:f>ROUNDUP(B408/12,0)</x:f>
        <x:v>34</x:v>
      </x:c>
      <x:c r="D408" s="16" t="n">
        <x:f>H407</x:f>
        <x:v>0</x:v>
      </x:c>
      <x:c r="E408" s="32" t="n">
        <x:f>IF(B408&gt;'Analysis'!$C$13*12,0,'Analysis'!$G$22)</x:f>
        <x:v>0</x:v>
      </x:c>
      <x:c r="F408" s="32" t="n">
        <x:f>MAX(0,E408-G408)</x:f>
        <x:v>0</x:v>
      </x:c>
      <x:c r="G408" s="16" t="n">
        <x:f>IF(OR('Analysis'!$G$21=0,B408&gt;'Analysis'!$C$13*12),0,IF('Analysis'!$C$12=0,'Analysis'!$G$21/('Analysis'!$C$13*12),'Analysis'!$G$21*(1+'Analysis'!$C$12/12)^-('Analysis'!$C$13*12-B408)*(1-(1+'Analysis'!$C$12/12)^-1)/(1-(1+'Analysis'!$C$12/12)^-('Analysis'!$C$13*12))))</x:f>
        <x:v>0</x:v>
      </x:c>
      <x:c r="H408" s="16" t="n">
        <x:f>IF(B408&gt;='Analysis'!$C$13*12,0,MAX(0,D408-G408))</x:f>
        <x:v>0</x:v>
      </x:c>
    </x:row>
    <x:row r="409" ht="22" customHeight="1">
      <x:c r="A409" s="2"/>
      <x:c r="B409" s="41" t="n">
        <x:f>404</x:f>
        <x:v>404</x:v>
      </x:c>
      <x:c r="C409" s="41" t="n">
        <x:f>ROUNDUP(B409/12,0)</x:f>
        <x:v>34</x:v>
      </x:c>
      <x:c r="D409" s="16" t="n">
        <x:f>H408</x:f>
        <x:v>0</x:v>
      </x:c>
      <x:c r="E409" s="32" t="n">
        <x:f>IF(B409&gt;'Analysis'!$C$13*12,0,'Analysis'!$G$22)</x:f>
        <x:v>0</x:v>
      </x:c>
      <x:c r="F409" s="32" t="n">
        <x:f>MAX(0,E409-G409)</x:f>
        <x:v>0</x:v>
      </x:c>
      <x:c r="G409" s="16" t="n">
        <x:f>IF(OR('Analysis'!$G$21=0,B409&gt;'Analysis'!$C$13*12),0,IF('Analysis'!$C$12=0,'Analysis'!$G$21/('Analysis'!$C$13*12),'Analysis'!$G$21*(1+'Analysis'!$C$12/12)^-('Analysis'!$C$13*12-B409)*(1-(1+'Analysis'!$C$12/12)^-1)/(1-(1+'Analysis'!$C$12/12)^-('Analysis'!$C$13*12))))</x:f>
        <x:v>0</x:v>
      </x:c>
      <x:c r="H409" s="16" t="n">
        <x:f>IF(B409&gt;='Analysis'!$C$13*12,0,MAX(0,D409-G409))</x:f>
        <x:v>0</x:v>
      </x:c>
    </x:row>
    <x:row r="410" ht="22" customHeight="1">
      <x:c r="A410" s="2"/>
      <x:c r="B410" s="41" t="n">
        <x:f>405</x:f>
        <x:v>405</x:v>
      </x:c>
      <x:c r="C410" s="41" t="n">
        <x:f>ROUNDUP(B410/12,0)</x:f>
        <x:v>34</x:v>
      </x:c>
      <x:c r="D410" s="16" t="n">
        <x:f>H409</x:f>
        <x:v>0</x:v>
      </x:c>
      <x:c r="E410" s="32" t="n">
        <x:f>IF(B410&gt;'Analysis'!$C$13*12,0,'Analysis'!$G$22)</x:f>
        <x:v>0</x:v>
      </x:c>
      <x:c r="F410" s="32" t="n">
        <x:f>MAX(0,E410-G410)</x:f>
        <x:v>0</x:v>
      </x:c>
      <x:c r="G410" s="16" t="n">
        <x:f>IF(OR('Analysis'!$G$21=0,B410&gt;'Analysis'!$C$13*12),0,IF('Analysis'!$C$12=0,'Analysis'!$G$21/('Analysis'!$C$13*12),'Analysis'!$G$21*(1+'Analysis'!$C$12/12)^-('Analysis'!$C$13*12-B410)*(1-(1+'Analysis'!$C$12/12)^-1)/(1-(1+'Analysis'!$C$12/12)^-('Analysis'!$C$13*12))))</x:f>
        <x:v>0</x:v>
      </x:c>
      <x:c r="H410" s="16" t="n">
        <x:f>IF(B410&gt;='Analysis'!$C$13*12,0,MAX(0,D410-G410))</x:f>
        <x:v>0</x:v>
      </x:c>
    </x:row>
    <x:row r="411" ht="22" customHeight="1">
      <x:c r="A411" s="2"/>
      <x:c r="B411" s="41" t="n">
        <x:f>406</x:f>
        <x:v>406</x:v>
      </x:c>
      <x:c r="C411" s="41" t="n">
        <x:f>ROUNDUP(B411/12,0)</x:f>
        <x:v>34</x:v>
      </x:c>
      <x:c r="D411" s="16" t="n">
        <x:f>H410</x:f>
        <x:v>0</x:v>
      </x:c>
      <x:c r="E411" s="32" t="n">
        <x:f>IF(B411&gt;'Analysis'!$C$13*12,0,'Analysis'!$G$22)</x:f>
        <x:v>0</x:v>
      </x:c>
      <x:c r="F411" s="32" t="n">
        <x:f>MAX(0,E411-G411)</x:f>
        <x:v>0</x:v>
      </x:c>
      <x:c r="G411" s="16" t="n">
        <x:f>IF(OR('Analysis'!$G$21=0,B411&gt;'Analysis'!$C$13*12),0,IF('Analysis'!$C$12=0,'Analysis'!$G$21/('Analysis'!$C$13*12),'Analysis'!$G$21*(1+'Analysis'!$C$12/12)^-('Analysis'!$C$13*12-B411)*(1-(1+'Analysis'!$C$12/12)^-1)/(1-(1+'Analysis'!$C$12/12)^-('Analysis'!$C$13*12))))</x:f>
        <x:v>0</x:v>
      </x:c>
      <x:c r="H411" s="16" t="n">
        <x:f>IF(B411&gt;='Analysis'!$C$13*12,0,MAX(0,D411-G411))</x:f>
        <x:v>0</x:v>
      </x:c>
    </x:row>
    <x:row r="412" ht="22" customHeight="1">
      <x:c r="A412" s="2"/>
      <x:c r="B412" s="41" t="n">
        <x:f>407</x:f>
        <x:v>407</x:v>
      </x:c>
      <x:c r="C412" s="41" t="n">
        <x:f>ROUNDUP(B412/12,0)</x:f>
        <x:v>34</x:v>
      </x:c>
      <x:c r="D412" s="16" t="n">
        <x:f>H411</x:f>
        <x:v>0</x:v>
      </x:c>
      <x:c r="E412" s="32" t="n">
        <x:f>IF(B412&gt;'Analysis'!$C$13*12,0,'Analysis'!$G$22)</x:f>
        <x:v>0</x:v>
      </x:c>
      <x:c r="F412" s="32" t="n">
        <x:f>MAX(0,E412-G412)</x:f>
        <x:v>0</x:v>
      </x:c>
      <x:c r="G412" s="16" t="n">
        <x:f>IF(OR('Analysis'!$G$21=0,B412&gt;'Analysis'!$C$13*12),0,IF('Analysis'!$C$12=0,'Analysis'!$G$21/('Analysis'!$C$13*12),'Analysis'!$G$21*(1+'Analysis'!$C$12/12)^-('Analysis'!$C$13*12-B412)*(1-(1+'Analysis'!$C$12/12)^-1)/(1-(1+'Analysis'!$C$12/12)^-('Analysis'!$C$13*12))))</x:f>
        <x:v>0</x:v>
      </x:c>
      <x:c r="H412" s="16" t="n">
        <x:f>IF(B412&gt;='Analysis'!$C$13*12,0,MAX(0,D412-G412))</x:f>
        <x:v>0</x:v>
      </x:c>
    </x:row>
    <x:row r="413" ht="22" customHeight="1">
      <x:c r="A413" s="2"/>
      <x:c r="B413" s="41" t="n">
        <x:f>408</x:f>
        <x:v>408</x:v>
      </x:c>
      <x:c r="C413" s="41" t="n">
        <x:f>ROUNDUP(B413/12,0)</x:f>
        <x:v>34</x:v>
      </x:c>
      <x:c r="D413" s="16" t="n">
        <x:f>H412</x:f>
        <x:v>0</x:v>
      </x:c>
      <x:c r="E413" s="32" t="n">
        <x:f>IF(B413&gt;'Analysis'!$C$13*12,0,'Analysis'!$G$22)</x:f>
        <x:v>0</x:v>
      </x:c>
      <x:c r="F413" s="32" t="n">
        <x:f>MAX(0,E413-G413)</x:f>
        <x:v>0</x:v>
      </x:c>
      <x:c r="G413" s="16" t="n">
        <x:f>IF(OR('Analysis'!$G$21=0,B413&gt;'Analysis'!$C$13*12),0,IF('Analysis'!$C$12=0,'Analysis'!$G$21/('Analysis'!$C$13*12),'Analysis'!$G$21*(1+'Analysis'!$C$12/12)^-('Analysis'!$C$13*12-B413)*(1-(1+'Analysis'!$C$12/12)^-1)/(1-(1+'Analysis'!$C$12/12)^-('Analysis'!$C$13*12))))</x:f>
        <x:v>0</x:v>
      </x:c>
      <x:c r="H413" s="16" t="n">
        <x:f>IF(B413&gt;='Analysis'!$C$13*12,0,MAX(0,D413-G413))</x:f>
        <x:v>0</x:v>
      </x:c>
    </x:row>
    <x:row r="414" ht="22" customHeight="1">
      <x:c r="A414" s="2"/>
      <x:c r="B414" s="41" t="n">
        <x:f>409</x:f>
        <x:v>409</x:v>
      </x:c>
      <x:c r="C414" s="41" t="n">
        <x:f>ROUNDUP(B414/12,0)</x:f>
        <x:v>35</x:v>
      </x:c>
      <x:c r="D414" s="16" t="n">
        <x:f>H413</x:f>
        <x:v>0</x:v>
      </x:c>
      <x:c r="E414" s="32" t="n">
        <x:f>IF(B414&gt;'Analysis'!$C$13*12,0,'Analysis'!$G$22)</x:f>
        <x:v>0</x:v>
      </x:c>
      <x:c r="F414" s="32" t="n">
        <x:f>MAX(0,E414-G414)</x:f>
        <x:v>0</x:v>
      </x:c>
      <x:c r="G414" s="16" t="n">
        <x:f>IF(OR('Analysis'!$G$21=0,B414&gt;'Analysis'!$C$13*12),0,IF('Analysis'!$C$12=0,'Analysis'!$G$21/('Analysis'!$C$13*12),'Analysis'!$G$21*(1+'Analysis'!$C$12/12)^-('Analysis'!$C$13*12-B414)*(1-(1+'Analysis'!$C$12/12)^-1)/(1-(1+'Analysis'!$C$12/12)^-('Analysis'!$C$13*12))))</x:f>
        <x:v>0</x:v>
      </x:c>
      <x:c r="H414" s="16" t="n">
        <x:f>IF(B414&gt;='Analysis'!$C$13*12,0,MAX(0,D414-G414))</x:f>
        <x:v>0</x:v>
      </x:c>
    </x:row>
    <x:row r="415" ht="22" customHeight="1">
      <x:c r="A415" s="2"/>
      <x:c r="B415" s="41" t="n">
        <x:f>410</x:f>
        <x:v>410</x:v>
      </x:c>
      <x:c r="C415" s="41" t="n">
        <x:f>ROUNDUP(B415/12,0)</x:f>
        <x:v>35</x:v>
      </x:c>
      <x:c r="D415" s="16" t="n">
        <x:f>H414</x:f>
        <x:v>0</x:v>
      </x:c>
      <x:c r="E415" s="32" t="n">
        <x:f>IF(B415&gt;'Analysis'!$C$13*12,0,'Analysis'!$G$22)</x:f>
        <x:v>0</x:v>
      </x:c>
      <x:c r="F415" s="32" t="n">
        <x:f>MAX(0,E415-G415)</x:f>
        <x:v>0</x:v>
      </x:c>
      <x:c r="G415" s="16" t="n">
        <x:f>IF(OR('Analysis'!$G$21=0,B415&gt;'Analysis'!$C$13*12),0,IF('Analysis'!$C$12=0,'Analysis'!$G$21/('Analysis'!$C$13*12),'Analysis'!$G$21*(1+'Analysis'!$C$12/12)^-('Analysis'!$C$13*12-B415)*(1-(1+'Analysis'!$C$12/12)^-1)/(1-(1+'Analysis'!$C$12/12)^-('Analysis'!$C$13*12))))</x:f>
        <x:v>0</x:v>
      </x:c>
      <x:c r="H415" s="16" t="n">
        <x:f>IF(B415&gt;='Analysis'!$C$13*12,0,MAX(0,D415-G415))</x:f>
        <x:v>0</x:v>
      </x:c>
    </x:row>
    <x:row r="416" ht="22" customHeight="1">
      <x:c r="A416" s="2"/>
      <x:c r="B416" s="41" t="n">
        <x:f>411</x:f>
        <x:v>411</x:v>
      </x:c>
      <x:c r="C416" s="41" t="n">
        <x:f>ROUNDUP(B416/12,0)</x:f>
        <x:v>35</x:v>
      </x:c>
      <x:c r="D416" s="16" t="n">
        <x:f>H415</x:f>
        <x:v>0</x:v>
      </x:c>
      <x:c r="E416" s="32" t="n">
        <x:f>IF(B416&gt;'Analysis'!$C$13*12,0,'Analysis'!$G$22)</x:f>
        <x:v>0</x:v>
      </x:c>
      <x:c r="F416" s="32" t="n">
        <x:f>MAX(0,E416-G416)</x:f>
        <x:v>0</x:v>
      </x:c>
      <x:c r="G416" s="16" t="n">
        <x:f>IF(OR('Analysis'!$G$21=0,B416&gt;'Analysis'!$C$13*12),0,IF('Analysis'!$C$12=0,'Analysis'!$G$21/('Analysis'!$C$13*12),'Analysis'!$G$21*(1+'Analysis'!$C$12/12)^-('Analysis'!$C$13*12-B416)*(1-(1+'Analysis'!$C$12/12)^-1)/(1-(1+'Analysis'!$C$12/12)^-('Analysis'!$C$13*12))))</x:f>
        <x:v>0</x:v>
      </x:c>
      <x:c r="H416" s="16" t="n">
        <x:f>IF(B416&gt;='Analysis'!$C$13*12,0,MAX(0,D416-G416))</x:f>
        <x:v>0</x:v>
      </x:c>
    </x:row>
    <x:row r="417" ht="22" customHeight="1">
      <x:c r="A417" s="2"/>
      <x:c r="B417" s="41" t="n">
        <x:f>412</x:f>
        <x:v>412</x:v>
      </x:c>
      <x:c r="C417" s="41" t="n">
        <x:f>ROUNDUP(B417/12,0)</x:f>
        <x:v>35</x:v>
      </x:c>
      <x:c r="D417" s="16" t="n">
        <x:f>H416</x:f>
        <x:v>0</x:v>
      </x:c>
      <x:c r="E417" s="32" t="n">
        <x:f>IF(B417&gt;'Analysis'!$C$13*12,0,'Analysis'!$G$22)</x:f>
        <x:v>0</x:v>
      </x:c>
      <x:c r="F417" s="32" t="n">
        <x:f>MAX(0,E417-G417)</x:f>
        <x:v>0</x:v>
      </x:c>
      <x:c r="G417" s="16" t="n">
        <x:f>IF(OR('Analysis'!$G$21=0,B417&gt;'Analysis'!$C$13*12),0,IF('Analysis'!$C$12=0,'Analysis'!$G$21/('Analysis'!$C$13*12),'Analysis'!$G$21*(1+'Analysis'!$C$12/12)^-('Analysis'!$C$13*12-B417)*(1-(1+'Analysis'!$C$12/12)^-1)/(1-(1+'Analysis'!$C$12/12)^-('Analysis'!$C$13*12))))</x:f>
        <x:v>0</x:v>
      </x:c>
      <x:c r="H417" s="16" t="n">
        <x:f>IF(B417&gt;='Analysis'!$C$13*12,0,MAX(0,D417-G417))</x:f>
        <x:v>0</x:v>
      </x:c>
    </x:row>
    <x:row r="418" ht="22" customHeight="1">
      <x:c r="A418" s="2"/>
      <x:c r="B418" s="41" t="n">
        <x:f>413</x:f>
        <x:v>413</x:v>
      </x:c>
      <x:c r="C418" s="41" t="n">
        <x:f>ROUNDUP(B418/12,0)</x:f>
        <x:v>35</x:v>
      </x:c>
      <x:c r="D418" s="16" t="n">
        <x:f>H417</x:f>
        <x:v>0</x:v>
      </x:c>
      <x:c r="E418" s="32" t="n">
        <x:f>IF(B418&gt;'Analysis'!$C$13*12,0,'Analysis'!$G$22)</x:f>
        <x:v>0</x:v>
      </x:c>
      <x:c r="F418" s="32" t="n">
        <x:f>MAX(0,E418-G418)</x:f>
        <x:v>0</x:v>
      </x:c>
      <x:c r="G418" s="16" t="n">
        <x:f>IF(OR('Analysis'!$G$21=0,B418&gt;'Analysis'!$C$13*12),0,IF('Analysis'!$C$12=0,'Analysis'!$G$21/('Analysis'!$C$13*12),'Analysis'!$G$21*(1+'Analysis'!$C$12/12)^-('Analysis'!$C$13*12-B418)*(1-(1+'Analysis'!$C$12/12)^-1)/(1-(1+'Analysis'!$C$12/12)^-('Analysis'!$C$13*12))))</x:f>
        <x:v>0</x:v>
      </x:c>
      <x:c r="H418" s="16" t="n">
        <x:f>IF(B418&gt;='Analysis'!$C$13*12,0,MAX(0,D418-G418))</x:f>
        <x:v>0</x:v>
      </x:c>
    </x:row>
    <x:row r="419" ht="22" customHeight="1">
      <x:c r="A419" s="2"/>
      <x:c r="B419" s="41" t="n">
        <x:f>414</x:f>
        <x:v>414</x:v>
      </x:c>
      <x:c r="C419" s="41" t="n">
        <x:f>ROUNDUP(B419/12,0)</x:f>
        <x:v>35</x:v>
      </x:c>
      <x:c r="D419" s="16" t="n">
        <x:f>H418</x:f>
        <x:v>0</x:v>
      </x:c>
      <x:c r="E419" s="32" t="n">
        <x:f>IF(B419&gt;'Analysis'!$C$13*12,0,'Analysis'!$G$22)</x:f>
        <x:v>0</x:v>
      </x:c>
      <x:c r="F419" s="32" t="n">
        <x:f>MAX(0,E419-G419)</x:f>
        <x:v>0</x:v>
      </x:c>
      <x:c r="G419" s="16" t="n">
        <x:f>IF(OR('Analysis'!$G$21=0,B419&gt;'Analysis'!$C$13*12),0,IF('Analysis'!$C$12=0,'Analysis'!$G$21/('Analysis'!$C$13*12),'Analysis'!$G$21*(1+'Analysis'!$C$12/12)^-('Analysis'!$C$13*12-B419)*(1-(1+'Analysis'!$C$12/12)^-1)/(1-(1+'Analysis'!$C$12/12)^-('Analysis'!$C$13*12))))</x:f>
        <x:v>0</x:v>
      </x:c>
      <x:c r="H419" s="16" t="n">
        <x:f>IF(B419&gt;='Analysis'!$C$13*12,0,MAX(0,D419-G419))</x:f>
        <x:v>0</x:v>
      </x:c>
    </x:row>
    <x:row r="420" ht="22" customHeight="1">
      <x:c r="A420" s="2"/>
      <x:c r="B420" s="41" t="n">
        <x:f>415</x:f>
        <x:v>415</x:v>
      </x:c>
      <x:c r="C420" s="41" t="n">
        <x:f>ROUNDUP(B420/12,0)</x:f>
        <x:v>35</x:v>
      </x:c>
      <x:c r="D420" s="16" t="n">
        <x:f>H419</x:f>
        <x:v>0</x:v>
      </x:c>
      <x:c r="E420" s="32" t="n">
        <x:f>IF(B420&gt;'Analysis'!$C$13*12,0,'Analysis'!$G$22)</x:f>
        <x:v>0</x:v>
      </x:c>
      <x:c r="F420" s="32" t="n">
        <x:f>MAX(0,E420-G420)</x:f>
        <x:v>0</x:v>
      </x:c>
      <x:c r="G420" s="16" t="n">
        <x:f>IF(OR('Analysis'!$G$21=0,B420&gt;'Analysis'!$C$13*12),0,IF('Analysis'!$C$12=0,'Analysis'!$G$21/('Analysis'!$C$13*12),'Analysis'!$G$21*(1+'Analysis'!$C$12/12)^-('Analysis'!$C$13*12-B420)*(1-(1+'Analysis'!$C$12/12)^-1)/(1-(1+'Analysis'!$C$12/12)^-('Analysis'!$C$13*12))))</x:f>
        <x:v>0</x:v>
      </x:c>
      <x:c r="H420" s="16" t="n">
        <x:f>IF(B420&gt;='Analysis'!$C$13*12,0,MAX(0,D420-G420))</x:f>
        <x:v>0</x:v>
      </x:c>
    </x:row>
    <x:row r="421" ht="22" customHeight="1">
      <x:c r="A421" s="2"/>
      <x:c r="B421" s="41" t="n">
        <x:f>416</x:f>
        <x:v>416</x:v>
      </x:c>
      <x:c r="C421" s="41" t="n">
        <x:f>ROUNDUP(B421/12,0)</x:f>
        <x:v>35</x:v>
      </x:c>
      <x:c r="D421" s="16" t="n">
        <x:f>H420</x:f>
        <x:v>0</x:v>
      </x:c>
      <x:c r="E421" s="32" t="n">
        <x:f>IF(B421&gt;'Analysis'!$C$13*12,0,'Analysis'!$G$22)</x:f>
        <x:v>0</x:v>
      </x:c>
      <x:c r="F421" s="32" t="n">
        <x:f>MAX(0,E421-G421)</x:f>
        <x:v>0</x:v>
      </x:c>
      <x:c r="G421" s="16" t="n">
        <x:f>IF(OR('Analysis'!$G$21=0,B421&gt;'Analysis'!$C$13*12),0,IF('Analysis'!$C$12=0,'Analysis'!$G$21/('Analysis'!$C$13*12),'Analysis'!$G$21*(1+'Analysis'!$C$12/12)^-('Analysis'!$C$13*12-B421)*(1-(1+'Analysis'!$C$12/12)^-1)/(1-(1+'Analysis'!$C$12/12)^-('Analysis'!$C$13*12))))</x:f>
        <x:v>0</x:v>
      </x:c>
      <x:c r="H421" s="16" t="n">
        <x:f>IF(B421&gt;='Analysis'!$C$13*12,0,MAX(0,D421-G421))</x:f>
        <x:v>0</x:v>
      </x:c>
    </x:row>
    <x:row r="422" ht="22" customHeight="1">
      <x:c r="A422" s="2"/>
      <x:c r="B422" s="41" t="n">
        <x:f>417</x:f>
        <x:v>417</x:v>
      </x:c>
      <x:c r="C422" s="41" t="n">
        <x:f>ROUNDUP(B422/12,0)</x:f>
        <x:v>35</x:v>
      </x:c>
      <x:c r="D422" s="16" t="n">
        <x:f>H421</x:f>
        <x:v>0</x:v>
      </x:c>
      <x:c r="E422" s="32" t="n">
        <x:f>IF(B422&gt;'Analysis'!$C$13*12,0,'Analysis'!$G$22)</x:f>
        <x:v>0</x:v>
      </x:c>
      <x:c r="F422" s="32" t="n">
        <x:f>MAX(0,E422-G422)</x:f>
        <x:v>0</x:v>
      </x:c>
      <x:c r="G422" s="16" t="n">
        <x:f>IF(OR('Analysis'!$G$21=0,B422&gt;'Analysis'!$C$13*12),0,IF('Analysis'!$C$12=0,'Analysis'!$G$21/('Analysis'!$C$13*12),'Analysis'!$G$21*(1+'Analysis'!$C$12/12)^-('Analysis'!$C$13*12-B422)*(1-(1+'Analysis'!$C$12/12)^-1)/(1-(1+'Analysis'!$C$12/12)^-('Analysis'!$C$13*12))))</x:f>
        <x:v>0</x:v>
      </x:c>
      <x:c r="H422" s="16" t="n">
        <x:f>IF(B422&gt;='Analysis'!$C$13*12,0,MAX(0,D422-G422))</x:f>
        <x:v>0</x:v>
      </x:c>
    </x:row>
    <x:row r="423" ht="22" customHeight="1">
      <x:c r="A423" s="2"/>
      <x:c r="B423" s="41" t="n">
        <x:f>418</x:f>
        <x:v>418</x:v>
      </x:c>
      <x:c r="C423" s="41" t="n">
        <x:f>ROUNDUP(B423/12,0)</x:f>
        <x:v>35</x:v>
      </x:c>
      <x:c r="D423" s="16" t="n">
        <x:f>H422</x:f>
        <x:v>0</x:v>
      </x:c>
      <x:c r="E423" s="32" t="n">
        <x:f>IF(B423&gt;'Analysis'!$C$13*12,0,'Analysis'!$G$22)</x:f>
        <x:v>0</x:v>
      </x:c>
      <x:c r="F423" s="32" t="n">
        <x:f>MAX(0,E423-G423)</x:f>
        <x:v>0</x:v>
      </x:c>
      <x:c r="G423" s="16" t="n">
        <x:f>IF(OR('Analysis'!$G$21=0,B423&gt;'Analysis'!$C$13*12),0,IF('Analysis'!$C$12=0,'Analysis'!$G$21/('Analysis'!$C$13*12),'Analysis'!$G$21*(1+'Analysis'!$C$12/12)^-('Analysis'!$C$13*12-B423)*(1-(1+'Analysis'!$C$12/12)^-1)/(1-(1+'Analysis'!$C$12/12)^-('Analysis'!$C$13*12))))</x:f>
        <x:v>0</x:v>
      </x:c>
      <x:c r="H423" s="16" t="n">
        <x:f>IF(B423&gt;='Analysis'!$C$13*12,0,MAX(0,D423-G423))</x:f>
        <x:v>0</x:v>
      </x:c>
    </x:row>
    <x:row r="424" ht="22" customHeight="1">
      <x:c r="A424" s="2"/>
      <x:c r="B424" s="41" t="n">
        <x:f>419</x:f>
        <x:v>419</x:v>
      </x:c>
      <x:c r="C424" s="41" t="n">
        <x:f>ROUNDUP(B424/12,0)</x:f>
        <x:v>35</x:v>
      </x:c>
      <x:c r="D424" s="16" t="n">
        <x:f>H423</x:f>
        <x:v>0</x:v>
      </x:c>
      <x:c r="E424" s="32" t="n">
        <x:f>IF(B424&gt;'Analysis'!$C$13*12,0,'Analysis'!$G$22)</x:f>
        <x:v>0</x:v>
      </x:c>
      <x:c r="F424" s="32" t="n">
        <x:f>MAX(0,E424-G424)</x:f>
        <x:v>0</x:v>
      </x:c>
      <x:c r="G424" s="16" t="n">
        <x:f>IF(OR('Analysis'!$G$21=0,B424&gt;'Analysis'!$C$13*12),0,IF('Analysis'!$C$12=0,'Analysis'!$G$21/('Analysis'!$C$13*12),'Analysis'!$G$21*(1+'Analysis'!$C$12/12)^-('Analysis'!$C$13*12-B424)*(1-(1+'Analysis'!$C$12/12)^-1)/(1-(1+'Analysis'!$C$12/12)^-('Analysis'!$C$13*12))))</x:f>
        <x:v>0</x:v>
      </x:c>
      <x:c r="H424" s="16" t="n">
        <x:f>IF(B424&gt;='Analysis'!$C$13*12,0,MAX(0,D424-G424))</x:f>
        <x:v>0</x:v>
      </x:c>
    </x:row>
    <x:row r="425" ht="22" customHeight="1">
      <x:c r="A425" s="2"/>
      <x:c r="B425" s="41" t="n">
        <x:f>420</x:f>
        <x:v>420</x:v>
      </x:c>
      <x:c r="C425" s="41" t="n">
        <x:f>ROUNDUP(B425/12,0)</x:f>
        <x:v>35</x:v>
      </x:c>
      <x:c r="D425" s="16" t="n">
        <x:f>H424</x:f>
        <x:v>0</x:v>
      </x:c>
      <x:c r="E425" s="32" t="n">
        <x:f>IF(B425&gt;'Analysis'!$C$13*12,0,'Analysis'!$G$22)</x:f>
        <x:v>0</x:v>
      </x:c>
      <x:c r="F425" s="32" t="n">
        <x:f>MAX(0,E425-G425)</x:f>
        <x:v>0</x:v>
      </x:c>
      <x:c r="G425" s="16" t="n">
        <x:f>IF(OR('Analysis'!$G$21=0,B425&gt;'Analysis'!$C$13*12),0,IF('Analysis'!$C$12=0,'Analysis'!$G$21/('Analysis'!$C$13*12),'Analysis'!$G$21*(1+'Analysis'!$C$12/12)^-('Analysis'!$C$13*12-B425)*(1-(1+'Analysis'!$C$12/12)^-1)/(1-(1+'Analysis'!$C$12/12)^-('Analysis'!$C$13*12))))</x:f>
        <x:v>0</x:v>
      </x:c>
      <x:c r="H425" s="16" t="n">
        <x:f>IF(B425&gt;='Analysis'!$C$13*12,0,MAX(0,D425-G425))</x:f>
        <x:v>0</x:v>
      </x:c>
    </x:row>
    <x:row r="426" ht="22" customHeight="1">
      <x:c r="A426" s="2"/>
      <x:c r="B426" s="41" t="n">
        <x:f>421</x:f>
        <x:v>421</x:v>
      </x:c>
      <x:c r="C426" s="41" t="n">
        <x:f>ROUNDUP(B426/12,0)</x:f>
        <x:v>36</x:v>
      </x:c>
      <x:c r="D426" s="16" t="n">
        <x:f>H425</x:f>
        <x:v>0</x:v>
      </x:c>
      <x:c r="E426" s="32" t="n">
        <x:f>IF(B426&gt;'Analysis'!$C$13*12,0,'Analysis'!$G$22)</x:f>
        <x:v>0</x:v>
      </x:c>
      <x:c r="F426" s="32" t="n">
        <x:f>MAX(0,E426-G426)</x:f>
        <x:v>0</x:v>
      </x:c>
      <x:c r="G426" s="16" t="n">
        <x:f>IF(OR('Analysis'!$G$21=0,B426&gt;'Analysis'!$C$13*12),0,IF('Analysis'!$C$12=0,'Analysis'!$G$21/('Analysis'!$C$13*12),'Analysis'!$G$21*(1+'Analysis'!$C$12/12)^-('Analysis'!$C$13*12-B426)*(1-(1+'Analysis'!$C$12/12)^-1)/(1-(1+'Analysis'!$C$12/12)^-('Analysis'!$C$13*12))))</x:f>
        <x:v>0</x:v>
      </x:c>
      <x:c r="H426" s="16" t="n">
        <x:f>IF(B426&gt;='Analysis'!$C$13*12,0,MAX(0,D426-G426))</x:f>
        <x:v>0</x:v>
      </x:c>
    </x:row>
    <x:row r="427" ht="22" customHeight="1">
      <x:c r="A427" s="2"/>
      <x:c r="B427" s="41" t="n">
        <x:f>422</x:f>
        <x:v>422</x:v>
      </x:c>
      <x:c r="C427" s="41" t="n">
        <x:f>ROUNDUP(B427/12,0)</x:f>
        <x:v>36</x:v>
      </x:c>
      <x:c r="D427" s="16" t="n">
        <x:f>H426</x:f>
        <x:v>0</x:v>
      </x:c>
      <x:c r="E427" s="32" t="n">
        <x:f>IF(B427&gt;'Analysis'!$C$13*12,0,'Analysis'!$G$22)</x:f>
        <x:v>0</x:v>
      </x:c>
      <x:c r="F427" s="32" t="n">
        <x:f>MAX(0,E427-G427)</x:f>
        <x:v>0</x:v>
      </x:c>
      <x:c r="G427" s="16" t="n">
        <x:f>IF(OR('Analysis'!$G$21=0,B427&gt;'Analysis'!$C$13*12),0,IF('Analysis'!$C$12=0,'Analysis'!$G$21/('Analysis'!$C$13*12),'Analysis'!$G$21*(1+'Analysis'!$C$12/12)^-('Analysis'!$C$13*12-B427)*(1-(1+'Analysis'!$C$12/12)^-1)/(1-(1+'Analysis'!$C$12/12)^-('Analysis'!$C$13*12))))</x:f>
        <x:v>0</x:v>
      </x:c>
      <x:c r="H427" s="16" t="n">
        <x:f>IF(B427&gt;='Analysis'!$C$13*12,0,MAX(0,D427-G427))</x:f>
        <x:v>0</x:v>
      </x:c>
    </x:row>
    <x:row r="428" ht="22" customHeight="1">
      <x:c r="A428" s="2"/>
      <x:c r="B428" s="41" t="n">
        <x:f>423</x:f>
        <x:v>423</x:v>
      </x:c>
      <x:c r="C428" s="41" t="n">
        <x:f>ROUNDUP(B428/12,0)</x:f>
        <x:v>36</x:v>
      </x:c>
      <x:c r="D428" s="16" t="n">
        <x:f>H427</x:f>
        <x:v>0</x:v>
      </x:c>
      <x:c r="E428" s="32" t="n">
        <x:f>IF(B428&gt;'Analysis'!$C$13*12,0,'Analysis'!$G$22)</x:f>
        <x:v>0</x:v>
      </x:c>
      <x:c r="F428" s="32" t="n">
        <x:f>MAX(0,E428-G428)</x:f>
        <x:v>0</x:v>
      </x:c>
      <x:c r="G428" s="16" t="n">
        <x:f>IF(OR('Analysis'!$G$21=0,B428&gt;'Analysis'!$C$13*12),0,IF('Analysis'!$C$12=0,'Analysis'!$G$21/('Analysis'!$C$13*12),'Analysis'!$G$21*(1+'Analysis'!$C$12/12)^-('Analysis'!$C$13*12-B428)*(1-(1+'Analysis'!$C$12/12)^-1)/(1-(1+'Analysis'!$C$12/12)^-('Analysis'!$C$13*12))))</x:f>
        <x:v>0</x:v>
      </x:c>
      <x:c r="H428" s="16" t="n">
        <x:f>IF(B428&gt;='Analysis'!$C$13*12,0,MAX(0,D428-G428))</x:f>
        <x:v>0</x:v>
      </x:c>
    </x:row>
    <x:row r="429" ht="22" customHeight="1">
      <x:c r="A429" s="2"/>
      <x:c r="B429" s="41" t="n">
        <x:f>424</x:f>
        <x:v>424</x:v>
      </x:c>
      <x:c r="C429" s="41" t="n">
        <x:f>ROUNDUP(B429/12,0)</x:f>
        <x:v>36</x:v>
      </x:c>
      <x:c r="D429" s="16" t="n">
        <x:f>H428</x:f>
        <x:v>0</x:v>
      </x:c>
      <x:c r="E429" s="32" t="n">
        <x:f>IF(B429&gt;'Analysis'!$C$13*12,0,'Analysis'!$G$22)</x:f>
        <x:v>0</x:v>
      </x:c>
      <x:c r="F429" s="32" t="n">
        <x:f>MAX(0,E429-G429)</x:f>
        <x:v>0</x:v>
      </x:c>
      <x:c r="G429" s="16" t="n">
        <x:f>IF(OR('Analysis'!$G$21=0,B429&gt;'Analysis'!$C$13*12),0,IF('Analysis'!$C$12=0,'Analysis'!$G$21/('Analysis'!$C$13*12),'Analysis'!$G$21*(1+'Analysis'!$C$12/12)^-('Analysis'!$C$13*12-B429)*(1-(1+'Analysis'!$C$12/12)^-1)/(1-(1+'Analysis'!$C$12/12)^-('Analysis'!$C$13*12))))</x:f>
        <x:v>0</x:v>
      </x:c>
      <x:c r="H429" s="16" t="n">
        <x:f>IF(B429&gt;='Analysis'!$C$13*12,0,MAX(0,D429-G429))</x:f>
        <x:v>0</x:v>
      </x:c>
    </x:row>
    <x:row r="430" ht="22" customHeight="1">
      <x:c r="A430" s="2"/>
      <x:c r="B430" s="41" t="n">
        <x:f>425</x:f>
        <x:v>425</x:v>
      </x:c>
      <x:c r="C430" s="41" t="n">
        <x:f>ROUNDUP(B430/12,0)</x:f>
        <x:v>36</x:v>
      </x:c>
      <x:c r="D430" s="16" t="n">
        <x:f>H429</x:f>
        <x:v>0</x:v>
      </x:c>
      <x:c r="E430" s="32" t="n">
        <x:f>IF(B430&gt;'Analysis'!$C$13*12,0,'Analysis'!$G$22)</x:f>
        <x:v>0</x:v>
      </x:c>
      <x:c r="F430" s="32" t="n">
        <x:f>MAX(0,E430-G430)</x:f>
        <x:v>0</x:v>
      </x:c>
      <x:c r="G430" s="16" t="n">
        <x:f>IF(OR('Analysis'!$G$21=0,B430&gt;'Analysis'!$C$13*12),0,IF('Analysis'!$C$12=0,'Analysis'!$G$21/('Analysis'!$C$13*12),'Analysis'!$G$21*(1+'Analysis'!$C$12/12)^-('Analysis'!$C$13*12-B430)*(1-(1+'Analysis'!$C$12/12)^-1)/(1-(1+'Analysis'!$C$12/12)^-('Analysis'!$C$13*12))))</x:f>
        <x:v>0</x:v>
      </x:c>
      <x:c r="H430" s="16" t="n">
        <x:f>IF(B430&gt;='Analysis'!$C$13*12,0,MAX(0,D430-G430))</x:f>
        <x:v>0</x:v>
      </x:c>
    </x:row>
    <x:row r="431" ht="22" customHeight="1">
      <x:c r="A431" s="2"/>
      <x:c r="B431" s="41" t="n">
        <x:f>426</x:f>
        <x:v>426</x:v>
      </x:c>
      <x:c r="C431" s="41" t="n">
        <x:f>ROUNDUP(B431/12,0)</x:f>
        <x:v>36</x:v>
      </x:c>
      <x:c r="D431" s="16" t="n">
        <x:f>H430</x:f>
        <x:v>0</x:v>
      </x:c>
      <x:c r="E431" s="32" t="n">
        <x:f>IF(B431&gt;'Analysis'!$C$13*12,0,'Analysis'!$G$22)</x:f>
        <x:v>0</x:v>
      </x:c>
      <x:c r="F431" s="32" t="n">
        <x:f>MAX(0,E431-G431)</x:f>
        <x:v>0</x:v>
      </x:c>
      <x:c r="G431" s="16" t="n">
        <x:f>IF(OR('Analysis'!$G$21=0,B431&gt;'Analysis'!$C$13*12),0,IF('Analysis'!$C$12=0,'Analysis'!$G$21/('Analysis'!$C$13*12),'Analysis'!$G$21*(1+'Analysis'!$C$12/12)^-('Analysis'!$C$13*12-B431)*(1-(1+'Analysis'!$C$12/12)^-1)/(1-(1+'Analysis'!$C$12/12)^-('Analysis'!$C$13*12))))</x:f>
        <x:v>0</x:v>
      </x:c>
      <x:c r="H431" s="16" t="n">
        <x:f>IF(B431&gt;='Analysis'!$C$13*12,0,MAX(0,D431-G431))</x:f>
        <x:v>0</x:v>
      </x:c>
    </x:row>
    <x:row r="432" ht="22" customHeight="1">
      <x:c r="A432" s="2"/>
      <x:c r="B432" s="41" t="n">
        <x:f>427</x:f>
        <x:v>427</x:v>
      </x:c>
      <x:c r="C432" s="41" t="n">
        <x:f>ROUNDUP(B432/12,0)</x:f>
        <x:v>36</x:v>
      </x:c>
      <x:c r="D432" s="16" t="n">
        <x:f>H431</x:f>
        <x:v>0</x:v>
      </x:c>
      <x:c r="E432" s="32" t="n">
        <x:f>IF(B432&gt;'Analysis'!$C$13*12,0,'Analysis'!$G$22)</x:f>
        <x:v>0</x:v>
      </x:c>
      <x:c r="F432" s="32" t="n">
        <x:f>MAX(0,E432-G432)</x:f>
        <x:v>0</x:v>
      </x:c>
      <x:c r="G432" s="16" t="n">
        <x:f>IF(OR('Analysis'!$G$21=0,B432&gt;'Analysis'!$C$13*12),0,IF('Analysis'!$C$12=0,'Analysis'!$G$21/('Analysis'!$C$13*12),'Analysis'!$G$21*(1+'Analysis'!$C$12/12)^-('Analysis'!$C$13*12-B432)*(1-(1+'Analysis'!$C$12/12)^-1)/(1-(1+'Analysis'!$C$12/12)^-('Analysis'!$C$13*12))))</x:f>
        <x:v>0</x:v>
      </x:c>
      <x:c r="H432" s="16" t="n">
        <x:f>IF(B432&gt;='Analysis'!$C$13*12,0,MAX(0,D432-G432))</x:f>
        <x:v>0</x:v>
      </x:c>
    </x:row>
    <x:row r="433" ht="22" customHeight="1">
      <x:c r="A433" s="2"/>
      <x:c r="B433" s="41" t="n">
        <x:f>428</x:f>
        <x:v>428</x:v>
      </x:c>
      <x:c r="C433" s="41" t="n">
        <x:f>ROUNDUP(B433/12,0)</x:f>
        <x:v>36</x:v>
      </x:c>
      <x:c r="D433" s="16" t="n">
        <x:f>H432</x:f>
        <x:v>0</x:v>
      </x:c>
      <x:c r="E433" s="32" t="n">
        <x:f>IF(B433&gt;'Analysis'!$C$13*12,0,'Analysis'!$G$22)</x:f>
        <x:v>0</x:v>
      </x:c>
      <x:c r="F433" s="32" t="n">
        <x:f>MAX(0,E433-G433)</x:f>
        <x:v>0</x:v>
      </x:c>
      <x:c r="G433" s="16" t="n">
        <x:f>IF(OR('Analysis'!$G$21=0,B433&gt;'Analysis'!$C$13*12),0,IF('Analysis'!$C$12=0,'Analysis'!$G$21/('Analysis'!$C$13*12),'Analysis'!$G$21*(1+'Analysis'!$C$12/12)^-('Analysis'!$C$13*12-B433)*(1-(1+'Analysis'!$C$12/12)^-1)/(1-(1+'Analysis'!$C$12/12)^-('Analysis'!$C$13*12))))</x:f>
        <x:v>0</x:v>
      </x:c>
      <x:c r="H433" s="16" t="n">
        <x:f>IF(B433&gt;='Analysis'!$C$13*12,0,MAX(0,D433-G433))</x:f>
        <x:v>0</x:v>
      </x:c>
    </x:row>
    <x:row r="434" ht="22" customHeight="1">
      <x:c r="A434" s="2"/>
      <x:c r="B434" s="41" t="n">
        <x:f>429</x:f>
        <x:v>429</x:v>
      </x:c>
      <x:c r="C434" s="41" t="n">
        <x:f>ROUNDUP(B434/12,0)</x:f>
        <x:v>36</x:v>
      </x:c>
      <x:c r="D434" s="16" t="n">
        <x:f>H433</x:f>
        <x:v>0</x:v>
      </x:c>
      <x:c r="E434" s="32" t="n">
        <x:f>IF(B434&gt;'Analysis'!$C$13*12,0,'Analysis'!$G$22)</x:f>
        <x:v>0</x:v>
      </x:c>
      <x:c r="F434" s="32" t="n">
        <x:f>MAX(0,E434-G434)</x:f>
        <x:v>0</x:v>
      </x:c>
      <x:c r="G434" s="16" t="n">
        <x:f>IF(OR('Analysis'!$G$21=0,B434&gt;'Analysis'!$C$13*12),0,IF('Analysis'!$C$12=0,'Analysis'!$G$21/('Analysis'!$C$13*12),'Analysis'!$G$21*(1+'Analysis'!$C$12/12)^-('Analysis'!$C$13*12-B434)*(1-(1+'Analysis'!$C$12/12)^-1)/(1-(1+'Analysis'!$C$12/12)^-('Analysis'!$C$13*12))))</x:f>
        <x:v>0</x:v>
      </x:c>
      <x:c r="H434" s="16" t="n">
        <x:f>IF(B434&gt;='Analysis'!$C$13*12,0,MAX(0,D434-G434))</x:f>
        <x:v>0</x:v>
      </x:c>
    </x:row>
    <x:row r="435" ht="22" customHeight="1">
      <x:c r="A435" s="2"/>
      <x:c r="B435" s="41" t="n">
        <x:f>430</x:f>
        <x:v>430</x:v>
      </x:c>
      <x:c r="C435" s="41" t="n">
        <x:f>ROUNDUP(B435/12,0)</x:f>
        <x:v>36</x:v>
      </x:c>
      <x:c r="D435" s="16" t="n">
        <x:f>H434</x:f>
        <x:v>0</x:v>
      </x:c>
      <x:c r="E435" s="32" t="n">
        <x:f>IF(B435&gt;'Analysis'!$C$13*12,0,'Analysis'!$G$22)</x:f>
        <x:v>0</x:v>
      </x:c>
      <x:c r="F435" s="32" t="n">
        <x:f>MAX(0,E435-G435)</x:f>
        <x:v>0</x:v>
      </x:c>
      <x:c r="G435" s="16" t="n">
        <x:f>IF(OR('Analysis'!$G$21=0,B435&gt;'Analysis'!$C$13*12),0,IF('Analysis'!$C$12=0,'Analysis'!$G$21/('Analysis'!$C$13*12),'Analysis'!$G$21*(1+'Analysis'!$C$12/12)^-('Analysis'!$C$13*12-B435)*(1-(1+'Analysis'!$C$12/12)^-1)/(1-(1+'Analysis'!$C$12/12)^-('Analysis'!$C$13*12))))</x:f>
        <x:v>0</x:v>
      </x:c>
      <x:c r="H435" s="16" t="n">
        <x:f>IF(B435&gt;='Analysis'!$C$13*12,0,MAX(0,D435-G435))</x:f>
        <x:v>0</x:v>
      </x:c>
    </x:row>
    <x:row r="436" ht="22" customHeight="1">
      <x:c r="A436" s="2"/>
      <x:c r="B436" s="41" t="n">
        <x:f>431</x:f>
        <x:v>431</x:v>
      </x:c>
      <x:c r="C436" s="41" t="n">
        <x:f>ROUNDUP(B436/12,0)</x:f>
        <x:v>36</x:v>
      </x:c>
      <x:c r="D436" s="16" t="n">
        <x:f>H435</x:f>
        <x:v>0</x:v>
      </x:c>
      <x:c r="E436" s="32" t="n">
        <x:f>IF(B436&gt;'Analysis'!$C$13*12,0,'Analysis'!$G$22)</x:f>
        <x:v>0</x:v>
      </x:c>
      <x:c r="F436" s="32" t="n">
        <x:f>MAX(0,E436-G436)</x:f>
        <x:v>0</x:v>
      </x:c>
      <x:c r="G436" s="16" t="n">
        <x:f>IF(OR('Analysis'!$G$21=0,B436&gt;'Analysis'!$C$13*12),0,IF('Analysis'!$C$12=0,'Analysis'!$G$21/('Analysis'!$C$13*12),'Analysis'!$G$21*(1+'Analysis'!$C$12/12)^-('Analysis'!$C$13*12-B436)*(1-(1+'Analysis'!$C$12/12)^-1)/(1-(1+'Analysis'!$C$12/12)^-('Analysis'!$C$13*12))))</x:f>
        <x:v>0</x:v>
      </x:c>
      <x:c r="H436" s="16" t="n">
        <x:f>IF(B436&gt;='Analysis'!$C$13*12,0,MAX(0,D436-G436))</x:f>
        <x:v>0</x:v>
      </x:c>
    </x:row>
    <x:row r="437" ht="22" customHeight="1">
      <x:c r="A437" s="2"/>
      <x:c r="B437" s="41" t="n">
        <x:f>432</x:f>
        <x:v>432</x:v>
      </x:c>
      <x:c r="C437" s="41" t="n">
        <x:f>ROUNDUP(B437/12,0)</x:f>
        <x:v>36</x:v>
      </x:c>
      <x:c r="D437" s="16" t="n">
        <x:f>H436</x:f>
        <x:v>0</x:v>
      </x:c>
      <x:c r="E437" s="32" t="n">
        <x:f>IF(B437&gt;'Analysis'!$C$13*12,0,'Analysis'!$G$22)</x:f>
        <x:v>0</x:v>
      </x:c>
      <x:c r="F437" s="32" t="n">
        <x:f>MAX(0,E437-G437)</x:f>
        <x:v>0</x:v>
      </x:c>
      <x:c r="G437" s="16" t="n">
        <x:f>IF(OR('Analysis'!$G$21=0,B437&gt;'Analysis'!$C$13*12),0,IF('Analysis'!$C$12=0,'Analysis'!$G$21/('Analysis'!$C$13*12),'Analysis'!$G$21*(1+'Analysis'!$C$12/12)^-('Analysis'!$C$13*12-B437)*(1-(1+'Analysis'!$C$12/12)^-1)/(1-(1+'Analysis'!$C$12/12)^-('Analysis'!$C$13*12))))</x:f>
        <x:v>0</x:v>
      </x:c>
      <x:c r="H437" s="16" t="n">
        <x:f>IF(B437&gt;='Analysis'!$C$13*12,0,MAX(0,D437-G437))</x:f>
        <x:v>0</x:v>
      </x:c>
    </x:row>
    <x:row r="438" ht="22" customHeight="1">
      <x:c r="A438" s="2"/>
      <x:c r="B438" s="41" t="n">
        <x:f>433</x:f>
        <x:v>433</x:v>
      </x:c>
      <x:c r="C438" s="41" t="n">
        <x:f>ROUNDUP(B438/12,0)</x:f>
        <x:v>37</x:v>
      </x:c>
      <x:c r="D438" s="16" t="n">
        <x:f>H437</x:f>
        <x:v>0</x:v>
      </x:c>
      <x:c r="E438" s="32" t="n">
        <x:f>IF(B438&gt;'Analysis'!$C$13*12,0,'Analysis'!$G$22)</x:f>
        <x:v>0</x:v>
      </x:c>
      <x:c r="F438" s="32" t="n">
        <x:f>MAX(0,E438-G438)</x:f>
        <x:v>0</x:v>
      </x:c>
      <x:c r="G438" s="16" t="n">
        <x:f>IF(OR('Analysis'!$G$21=0,B438&gt;'Analysis'!$C$13*12),0,IF('Analysis'!$C$12=0,'Analysis'!$G$21/('Analysis'!$C$13*12),'Analysis'!$G$21*(1+'Analysis'!$C$12/12)^-('Analysis'!$C$13*12-B438)*(1-(1+'Analysis'!$C$12/12)^-1)/(1-(1+'Analysis'!$C$12/12)^-('Analysis'!$C$13*12))))</x:f>
        <x:v>0</x:v>
      </x:c>
      <x:c r="H438" s="16" t="n">
        <x:f>IF(B438&gt;='Analysis'!$C$13*12,0,MAX(0,D438-G438))</x:f>
        <x:v>0</x:v>
      </x:c>
    </x:row>
    <x:row r="439" ht="22" customHeight="1">
      <x:c r="A439" s="2"/>
      <x:c r="B439" s="41" t="n">
        <x:f>434</x:f>
        <x:v>434</x:v>
      </x:c>
      <x:c r="C439" s="41" t="n">
        <x:f>ROUNDUP(B439/12,0)</x:f>
        <x:v>37</x:v>
      </x:c>
      <x:c r="D439" s="16" t="n">
        <x:f>H438</x:f>
        <x:v>0</x:v>
      </x:c>
      <x:c r="E439" s="32" t="n">
        <x:f>IF(B439&gt;'Analysis'!$C$13*12,0,'Analysis'!$G$22)</x:f>
        <x:v>0</x:v>
      </x:c>
      <x:c r="F439" s="32" t="n">
        <x:f>MAX(0,E439-G439)</x:f>
        <x:v>0</x:v>
      </x:c>
      <x:c r="G439" s="16" t="n">
        <x:f>IF(OR('Analysis'!$G$21=0,B439&gt;'Analysis'!$C$13*12),0,IF('Analysis'!$C$12=0,'Analysis'!$G$21/('Analysis'!$C$13*12),'Analysis'!$G$21*(1+'Analysis'!$C$12/12)^-('Analysis'!$C$13*12-B439)*(1-(1+'Analysis'!$C$12/12)^-1)/(1-(1+'Analysis'!$C$12/12)^-('Analysis'!$C$13*12))))</x:f>
        <x:v>0</x:v>
      </x:c>
      <x:c r="H439" s="16" t="n">
        <x:f>IF(B439&gt;='Analysis'!$C$13*12,0,MAX(0,D439-G439))</x:f>
        <x:v>0</x:v>
      </x:c>
    </x:row>
    <x:row r="440" ht="22" customHeight="1">
      <x:c r="A440" s="2"/>
      <x:c r="B440" s="41" t="n">
        <x:f>435</x:f>
        <x:v>435</x:v>
      </x:c>
      <x:c r="C440" s="41" t="n">
        <x:f>ROUNDUP(B440/12,0)</x:f>
        <x:v>37</x:v>
      </x:c>
      <x:c r="D440" s="16" t="n">
        <x:f>H439</x:f>
        <x:v>0</x:v>
      </x:c>
      <x:c r="E440" s="32" t="n">
        <x:f>IF(B440&gt;'Analysis'!$C$13*12,0,'Analysis'!$G$22)</x:f>
        <x:v>0</x:v>
      </x:c>
      <x:c r="F440" s="32" t="n">
        <x:f>MAX(0,E440-G440)</x:f>
        <x:v>0</x:v>
      </x:c>
      <x:c r="G440" s="16" t="n">
        <x:f>IF(OR('Analysis'!$G$21=0,B440&gt;'Analysis'!$C$13*12),0,IF('Analysis'!$C$12=0,'Analysis'!$G$21/('Analysis'!$C$13*12),'Analysis'!$G$21*(1+'Analysis'!$C$12/12)^-('Analysis'!$C$13*12-B440)*(1-(1+'Analysis'!$C$12/12)^-1)/(1-(1+'Analysis'!$C$12/12)^-('Analysis'!$C$13*12))))</x:f>
        <x:v>0</x:v>
      </x:c>
      <x:c r="H440" s="16" t="n">
        <x:f>IF(B440&gt;='Analysis'!$C$13*12,0,MAX(0,D440-G440))</x:f>
        <x:v>0</x:v>
      </x:c>
    </x:row>
    <x:row r="441" ht="22" customHeight="1">
      <x:c r="A441" s="2"/>
      <x:c r="B441" s="41" t="n">
        <x:f>436</x:f>
        <x:v>436</x:v>
      </x:c>
      <x:c r="C441" s="41" t="n">
        <x:f>ROUNDUP(B441/12,0)</x:f>
        <x:v>37</x:v>
      </x:c>
      <x:c r="D441" s="16" t="n">
        <x:f>H440</x:f>
        <x:v>0</x:v>
      </x:c>
      <x:c r="E441" s="32" t="n">
        <x:f>IF(B441&gt;'Analysis'!$C$13*12,0,'Analysis'!$G$22)</x:f>
        <x:v>0</x:v>
      </x:c>
      <x:c r="F441" s="32" t="n">
        <x:f>MAX(0,E441-G441)</x:f>
        <x:v>0</x:v>
      </x:c>
      <x:c r="G441" s="16" t="n">
        <x:f>IF(OR('Analysis'!$G$21=0,B441&gt;'Analysis'!$C$13*12),0,IF('Analysis'!$C$12=0,'Analysis'!$G$21/('Analysis'!$C$13*12),'Analysis'!$G$21*(1+'Analysis'!$C$12/12)^-('Analysis'!$C$13*12-B441)*(1-(1+'Analysis'!$C$12/12)^-1)/(1-(1+'Analysis'!$C$12/12)^-('Analysis'!$C$13*12))))</x:f>
        <x:v>0</x:v>
      </x:c>
      <x:c r="H441" s="16" t="n">
        <x:f>IF(B441&gt;='Analysis'!$C$13*12,0,MAX(0,D441-G441))</x:f>
        <x:v>0</x:v>
      </x:c>
    </x:row>
    <x:row r="442" ht="22" customHeight="1">
      <x:c r="A442" s="2"/>
      <x:c r="B442" s="41" t="n">
        <x:f>437</x:f>
        <x:v>437</x:v>
      </x:c>
      <x:c r="C442" s="41" t="n">
        <x:f>ROUNDUP(B442/12,0)</x:f>
        <x:v>37</x:v>
      </x:c>
      <x:c r="D442" s="16" t="n">
        <x:f>H441</x:f>
        <x:v>0</x:v>
      </x:c>
      <x:c r="E442" s="32" t="n">
        <x:f>IF(B442&gt;'Analysis'!$C$13*12,0,'Analysis'!$G$22)</x:f>
        <x:v>0</x:v>
      </x:c>
      <x:c r="F442" s="32" t="n">
        <x:f>MAX(0,E442-G442)</x:f>
        <x:v>0</x:v>
      </x:c>
      <x:c r="G442" s="16" t="n">
        <x:f>IF(OR('Analysis'!$G$21=0,B442&gt;'Analysis'!$C$13*12),0,IF('Analysis'!$C$12=0,'Analysis'!$G$21/('Analysis'!$C$13*12),'Analysis'!$G$21*(1+'Analysis'!$C$12/12)^-('Analysis'!$C$13*12-B442)*(1-(1+'Analysis'!$C$12/12)^-1)/(1-(1+'Analysis'!$C$12/12)^-('Analysis'!$C$13*12))))</x:f>
        <x:v>0</x:v>
      </x:c>
      <x:c r="H442" s="16" t="n">
        <x:f>IF(B442&gt;='Analysis'!$C$13*12,0,MAX(0,D442-G442))</x:f>
        <x:v>0</x:v>
      </x:c>
    </x:row>
    <x:row r="443" ht="22" customHeight="1">
      <x:c r="A443" s="2"/>
      <x:c r="B443" s="41" t="n">
        <x:f>438</x:f>
        <x:v>438</x:v>
      </x:c>
      <x:c r="C443" s="41" t="n">
        <x:f>ROUNDUP(B443/12,0)</x:f>
        <x:v>37</x:v>
      </x:c>
      <x:c r="D443" s="16" t="n">
        <x:f>H442</x:f>
        <x:v>0</x:v>
      </x:c>
      <x:c r="E443" s="32" t="n">
        <x:f>IF(B443&gt;'Analysis'!$C$13*12,0,'Analysis'!$G$22)</x:f>
        <x:v>0</x:v>
      </x:c>
      <x:c r="F443" s="32" t="n">
        <x:f>MAX(0,E443-G443)</x:f>
        <x:v>0</x:v>
      </x:c>
      <x:c r="G443" s="16" t="n">
        <x:f>IF(OR('Analysis'!$G$21=0,B443&gt;'Analysis'!$C$13*12),0,IF('Analysis'!$C$12=0,'Analysis'!$G$21/('Analysis'!$C$13*12),'Analysis'!$G$21*(1+'Analysis'!$C$12/12)^-('Analysis'!$C$13*12-B443)*(1-(1+'Analysis'!$C$12/12)^-1)/(1-(1+'Analysis'!$C$12/12)^-('Analysis'!$C$13*12))))</x:f>
        <x:v>0</x:v>
      </x:c>
      <x:c r="H443" s="16" t="n">
        <x:f>IF(B443&gt;='Analysis'!$C$13*12,0,MAX(0,D443-G443))</x:f>
        <x:v>0</x:v>
      </x:c>
    </x:row>
    <x:row r="444" ht="22" customHeight="1">
      <x:c r="A444" s="2"/>
      <x:c r="B444" s="41" t="n">
        <x:f>439</x:f>
        <x:v>439</x:v>
      </x:c>
      <x:c r="C444" s="41" t="n">
        <x:f>ROUNDUP(B444/12,0)</x:f>
        <x:v>37</x:v>
      </x:c>
      <x:c r="D444" s="16" t="n">
        <x:f>H443</x:f>
        <x:v>0</x:v>
      </x:c>
      <x:c r="E444" s="32" t="n">
        <x:f>IF(B444&gt;'Analysis'!$C$13*12,0,'Analysis'!$G$22)</x:f>
        <x:v>0</x:v>
      </x:c>
      <x:c r="F444" s="32" t="n">
        <x:f>MAX(0,E444-G444)</x:f>
        <x:v>0</x:v>
      </x:c>
      <x:c r="G444" s="16" t="n">
        <x:f>IF(OR('Analysis'!$G$21=0,B444&gt;'Analysis'!$C$13*12),0,IF('Analysis'!$C$12=0,'Analysis'!$G$21/('Analysis'!$C$13*12),'Analysis'!$G$21*(1+'Analysis'!$C$12/12)^-('Analysis'!$C$13*12-B444)*(1-(1+'Analysis'!$C$12/12)^-1)/(1-(1+'Analysis'!$C$12/12)^-('Analysis'!$C$13*12))))</x:f>
        <x:v>0</x:v>
      </x:c>
      <x:c r="H444" s="16" t="n">
        <x:f>IF(B444&gt;='Analysis'!$C$13*12,0,MAX(0,D444-G444))</x:f>
        <x:v>0</x:v>
      </x:c>
    </x:row>
    <x:row r="445" ht="22" customHeight="1">
      <x:c r="A445" s="2"/>
      <x:c r="B445" s="41" t="n">
        <x:f>440</x:f>
        <x:v>440</x:v>
      </x:c>
      <x:c r="C445" s="41" t="n">
        <x:f>ROUNDUP(B445/12,0)</x:f>
        <x:v>37</x:v>
      </x:c>
      <x:c r="D445" s="16" t="n">
        <x:f>H444</x:f>
        <x:v>0</x:v>
      </x:c>
      <x:c r="E445" s="32" t="n">
        <x:f>IF(B445&gt;'Analysis'!$C$13*12,0,'Analysis'!$G$22)</x:f>
        <x:v>0</x:v>
      </x:c>
      <x:c r="F445" s="32" t="n">
        <x:f>MAX(0,E445-G445)</x:f>
        <x:v>0</x:v>
      </x:c>
      <x:c r="G445" s="16" t="n">
        <x:f>IF(OR('Analysis'!$G$21=0,B445&gt;'Analysis'!$C$13*12),0,IF('Analysis'!$C$12=0,'Analysis'!$G$21/('Analysis'!$C$13*12),'Analysis'!$G$21*(1+'Analysis'!$C$12/12)^-('Analysis'!$C$13*12-B445)*(1-(1+'Analysis'!$C$12/12)^-1)/(1-(1+'Analysis'!$C$12/12)^-('Analysis'!$C$13*12))))</x:f>
        <x:v>0</x:v>
      </x:c>
      <x:c r="H445" s="16" t="n">
        <x:f>IF(B445&gt;='Analysis'!$C$13*12,0,MAX(0,D445-G445))</x:f>
        <x:v>0</x:v>
      </x:c>
    </x:row>
    <x:row r="446" ht="22" customHeight="1">
      <x:c r="A446" s="2"/>
      <x:c r="B446" s="41" t="n">
        <x:f>441</x:f>
        <x:v>441</x:v>
      </x:c>
      <x:c r="C446" s="41" t="n">
        <x:f>ROUNDUP(B446/12,0)</x:f>
        <x:v>37</x:v>
      </x:c>
      <x:c r="D446" s="16" t="n">
        <x:f>H445</x:f>
        <x:v>0</x:v>
      </x:c>
      <x:c r="E446" s="32" t="n">
        <x:f>IF(B446&gt;'Analysis'!$C$13*12,0,'Analysis'!$G$22)</x:f>
        <x:v>0</x:v>
      </x:c>
      <x:c r="F446" s="32" t="n">
        <x:f>MAX(0,E446-G446)</x:f>
        <x:v>0</x:v>
      </x:c>
      <x:c r="G446" s="16" t="n">
        <x:f>IF(OR('Analysis'!$G$21=0,B446&gt;'Analysis'!$C$13*12),0,IF('Analysis'!$C$12=0,'Analysis'!$G$21/('Analysis'!$C$13*12),'Analysis'!$G$21*(1+'Analysis'!$C$12/12)^-('Analysis'!$C$13*12-B446)*(1-(1+'Analysis'!$C$12/12)^-1)/(1-(1+'Analysis'!$C$12/12)^-('Analysis'!$C$13*12))))</x:f>
        <x:v>0</x:v>
      </x:c>
      <x:c r="H446" s="16" t="n">
        <x:f>IF(B446&gt;='Analysis'!$C$13*12,0,MAX(0,D446-G446))</x:f>
        <x:v>0</x:v>
      </x:c>
    </x:row>
    <x:row r="447" ht="22" customHeight="1">
      <x:c r="A447" s="2"/>
      <x:c r="B447" s="41" t="n">
        <x:f>442</x:f>
        <x:v>442</x:v>
      </x:c>
      <x:c r="C447" s="41" t="n">
        <x:f>ROUNDUP(B447/12,0)</x:f>
        <x:v>37</x:v>
      </x:c>
      <x:c r="D447" s="16" t="n">
        <x:f>H446</x:f>
        <x:v>0</x:v>
      </x:c>
      <x:c r="E447" s="32" t="n">
        <x:f>IF(B447&gt;'Analysis'!$C$13*12,0,'Analysis'!$G$22)</x:f>
        <x:v>0</x:v>
      </x:c>
      <x:c r="F447" s="32" t="n">
        <x:f>MAX(0,E447-G447)</x:f>
        <x:v>0</x:v>
      </x:c>
      <x:c r="G447" s="16" t="n">
        <x:f>IF(OR('Analysis'!$G$21=0,B447&gt;'Analysis'!$C$13*12),0,IF('Analysis'!$C$12=0,'Analysis'!$G$21/('Analysis'!$C$13*12),'Analysis'!$G$21*(1+'Analysis'!$C$12/12)^-('Analysis'!$C$13*12-B447)*(1-(1+'Analysis'!$C$12/12)^-1)/(1-(1+'Analysis'!$C$12/12)^-('Analysis'!$C$13*12))))</x:f>
        <x:v>0</x:v>
      </x:c>
      <x:c r="H447" s="16" t="n">
        <x:f>IF(B447&gt;='Analysis'!$C$13*12,0,MAX(0,D447-G447))</x:f>
        <x:v>0</x:v>
      </x:c>
    </x:row>
    <x:row r="448" ht="22" customHeight="1">
      <x:c r="A448" s="2"/>
      <x:c r="B448" s="41" t="n">
        <x:f>443</x:f>
        <x:v>443</x:v>
      </x:c>
      <x:c r="C448" s="41" t="n">
        <x:f>ROUNDUP(B448/12,0)</x:f>
        <x:v>37</x:v>
      </x:c>
      <x:c r="D448" s="16" t="n">
        <x:f>H447</x:f>
        <x:v>0</x:v>
      </x:c>
      <x:c r="E448" s="32" t="n">
        <x:f>IF(B448&gt;'Analysis'!$C$13*12,0,'Analysis'!$G$22)</x:f>
        <x:v>0</x:v>
      </x:c>
      <x:c r="F448" s="32" t="n">
        <x:f>MAX(0,E448-G448)</x:f>
        <x:v>0</x:v>
      </x:c>
      <x:c r="G448" s="16" t="n">
        <x:f>IF(OR('Analysis'!$G$21=0,B448&gt;'Analysis'!$C$13*12),0,IF('Analysis'!$C$12=0,'Analysis'!$G$21/('Analysis'!$C$13*12),'Analysis'!$G$21*(1+'Analysis'!$C$12/12)^-('Analysis'!$C$13*12-B448)*(1-(1+'Analysis'!$C$12/12)^-1)/(1-(1+'Analysis'!$C$12/12)^-('Analysis'!$C$13*12))))</x:f>
        <x:v>0</x:v>
      </x:c>
      <x:c r="H448" s="16" t="n">
        <x:f>IF(B448&gt;='Analysis'!$C$13*12,0,MAX(0,D448-G448))</x:f>
        <x:v>0</x:v>
      </x:c>
    </x:row>
    <x:row r="449" ht="22" customHeight="1">
      <x:c r="A449" s="2"/>
      <x:c r="B449" s="41" t="n">
        <x:f>444</x:f>
        <x:v>444</x:v>
      </x:c>
      <x:c r="C449" s="41" t="n">
        <x:f>ROUNDUP(B449/12,0)</x:f>
        <x:v>37</x:v>
      </x:c>
      <x:c r="D449" s="16" t="n">
        <x:f>H448</x:f>
        <x:v>0</x:v>
      </x:c>
      <x:c r="E449" s="32" t="n">
        <x:f>IF(B449&gt;'Analysis'!$C$13*12,0,'Analysis'!$G$22)</x:f>
        <x:v>0</x:v>
      </x:c>
      <x:c r="F449" s="32" t="n">
        <x:f>MAX(0,E449-G449)</x:f>
        <x:v>0</x:v>
      </x:c>
      <x:c r="G449" s="16" t="n">
        <x:f>IF(OR('Analysis'!$G$21=0,B449&gt;'Analysis'!$C$13*12),0,IF('Analysis'!$C$12=0,'Analysis'!$G$21/('Analysis'!$C$13*12),'Analysis'!$G$21*(1+'Analysis'!$C$12/12)^-('Analysis'!$C$13*12-B449)*(1-(1+'Analysis'!$C$12/12)^-1)/(1-(1+'Analysis'!$C$12/12)^-('Analysis'!$C$13*12))))</x:f>
        <x:v>0</x:v>
      </x:c>
      <x:c r="H449" s="16" t="n">
        <x:f>IF(B449&gt;='Analysis'!$C$13*12,0,MAX(0,D449-G449))</x:f>
        <x:v>0</x:v>
      </x:c>
    </x:row>
    <x:row r="450" ht="22" customHeight="1">
      <x:c r="A450" s="2"/>
      <x:c r="B450" s="41" t="n">
        <x:f>445</x:f>
        <x:v>445</x:v>
      </x:c>
      <x:c r="C450" s="41" t="n">
        <x:f>ROUNDUP(B450/12,0)</x:f>
        <x:v>38</x:v>
      </x:c>
      <x:c r="D450" s="16" t="n">
        <x:f>H449</x:f>
        <x:v>0</x:v>
      </x:c>
      <x:c r="E450" s="32" t="n">
        <x:f>IF(B450&gt;'Analysis'!$C$13*12,0,'Analysis'!$G$22)</x:f>
        <x:v>0</x:v>
      </x:c>
      <x:c r="F450" s="32" t="n">
        <x:f>MAX(0,E450-G450)</x:f>
        <x:v>0</x:v>
      </x:c>
      <x:c r="G450" s="16" t="n">
        <x:f>IF(OR('Analysis'!$G$21=0,B450&gt;'Analysis'!$C$13*12),0,IF('Analysis'!$C$12=0,'Analysis'!$G$21/('Analysis'!$C$13*12),'Analysis'!$G$21*(1+'Analysis'!$C$12/12)^-('Analysis'!$C$13*12-B450)*(1-(1+'Analysis'!$C$12/12)^-1)/(1-(1+'Analysis'!$C$12/12)^-('Analysis'!$C$13*12))))</x:f>
        <x:v>0</x:v>
      </x:c>
      <x:c r="H450" s="16" t="n">
        <x:f>IF(B450&gt;='Analysis'!$C$13*12,0,MAX(0,D450-G450))</x:f>
        <x:v>0</x:v>
      </x:c>
    </x:row>
    <x:row r="451" ht="22" customHeight="1">
      <x:c r="A451" s="2"/>
      <x:c r="B451" s="41" t="n">
        <x:f>446</x:f>
        <x:v>446</x:v>
      </x:c>
      <x:c r="C451" s="41" t="n">
        <x:f>ROUNDUP(B451/12,0)</x:f>
        <x:v>38</x:v>
      </x:c>
      <x:c r="D451" s="16" t="n">
        <x:f>H450</x:f>
        <x:v>0</x:v>
      </x:c>
      <x:c r="E451" s="32" t="n">
        <x:f>IF(B451&gt;'Analysis'!$C$13*12,0,'Analysis'!$G$22)</x:f>
        <x:v>0</x:v>
      </x:c>
      <x:c r="F451" s="32" t="n">
        <x:f>MAX(0,E451-G451)</x:f>
        <x:v>0</x:v>
      </x:c>
      <x:c r="G451" s="16" t="n">
        <x:f>IF(OR('Analysis'!$G$21=0,B451&gt;'Analysis'!$C$13*12),0,IF('Analysis'!$C$12=0,'Analysis'!$G$21/('Analysis'!$C$13*12),'Analysis'!$G$21*(1+'Analysis'!$C$12/12)^-('Analysis'!$C$13*12-B451)*(1-(1+'Analysis'!$C$12/12)^-1)/(1-(1+'Analysis'!$C$12/12)^-('Analysis'!$C$13*12))))</x:f>
        <x:v>0</x:v>
      </x:c>
      <x:c r="H451" s="16" t="n">
        <x:f>IF(B451&gt;='Analysis'!$C$13*12,0,MAX(0,D451-G451))</x:f>
        <x:v>0</x:v>
      </x:c>
    </x:row>
    <x:row r="452" ht="22" customHeight="1">
      <x:c r="A452" s="2"/>
      <x:c r="B452" s="41" t="n">
        <x:f>447</x:f>
        <x:v>447</x:v>
      </x:c>
      <x:c r="C452" s="41" t="n">
        <x:f>ROUNDUP(B452/12,0)</x:f>
        <x:v>38</x:v>
      </x:c>
      <x:c r="D452" s="16" t="n">
        <x:f>H451</x:f>
        <x:v>0</x:v>
      </x:c>
      <x:c r="E452" s="32" t="n">
        <x:f>IF(B452&gt;'Analysis'!$C$13*12,0,'Analysis'!$G$22)</x:f>
        <x:v>0</x:v>
      </x:c>
      <x:c r="F452" s="32" t="n">
        <x:f>MAX(0,E452-G452)</x:f>
        <x:v>0</x:v>
      </x:c>
      <x:c r="G452" s="16" t="n">
        <x:f>IF(OR('Analysis'!$G$21=0,B452&gt;'Analysis'!$C$13*12),0,IF('Analysis'!$C$12=0,'Analysis'!$G$21/('Analysis'!$C$13*12),'Analysis'!$G$21*(1+'Analysis'!$C$12/12)^-('Analysis'!$C$13*12-B452)*(1-(1+'Analysis'!$C$12/12)^-1)/(1-(1+'Analysis'!$C$12/12)^-('Analysis'!$C$13*12))))</x:f>
        <x:v>0</x:v>
      </x:c>
      <x:c r="H452" s="16" t="n">
        <x:f>IF(B452&gt;='Analysis'!$C$13*12,0,MAX(0,D452-G452))</x:f>
        <x:v>0</x:v>
      </x:c>
    </x:row>
    <x:row r="453" ht="22" customHeight="1">
      <x:c r="A453" s="2"/>
      <x:c r="B453" s="41" t="n">
        <x:f>448</x:f>
        <x:v>448</x:v>
      </x:c>
      <x:c r="C453" s="41" t="n">
        <x:f>ROUNDUP(B453/12,0)</x:f>
        <x:v>38</x:v>
      </x:c>
      <x:c r="D453" s="16" t="n">
        <x:f>H452</x:f>
        <x:v>0</x:v>
      </x:c>
      <x:c r="E453" s="32" t="n">
        <x:f>IF(B453&gt;'Analysis'!$C$13*12,0,'Analysis'!$G$22)</x:f>
        <x:v>0</x:v>
      </x:c>
      <x:c r="F453" s="32" t="n">
        <x:f>MAX(0,E453-G453)</x:f>
        <x:v>0</x:v>
      </x:c>
      <x:c r="G453" s="16" t="n">
        <x:f>IF(OR('Analysis'!$G$21=0,B453&gt;'Analysis'!$C$13*12),0,IF('Analysis'!$C$12=0,'Analysis'!$G$21/('Analysis'!$C$13*12),'Analysis'!$G$21*(1+'Analysis'!$C$12/12)^-('Analysis'!$C$13*12-B453)*(1-(1+'Analysis'!$C$12/12)^-1)/(1-(1+'Analysis'!$C$12/12)^-('Analysis'!$C$13*12))))</x:f>
        <x:v>0</x:v>
      </x:c>
      <x:c r="H453" s="16" t="n">
        <x:f>IF(B453&gt;='Analysis'!$C$13*12,0,MAX(0,D453-G453))</x:f>
        <x:v>0</x:v>
      </x:c>
    </x:row>
    <x:row r="454" ht="22" customHeight="1">
      <x:c r="A454" s="2"/>
      <x:c r="B454" s="41" t="n">
        <x:f>449</x:f>
        <x:v>449</x:v>
      </x:c>
      <x:c r="C454" s="41" t="n">
        <x:f>ROUNDUP(B454/12,0)</x:f>
        <x:v>38</x:v>
      </x:c>
      <x:c r="D454" s="16" t="n">
        <x:f>H453</x:f>
        <x:v>0</x:v>
      </x:c>
      <x:c r="E454" s="32" t="n">
        <x:f>IF(B454&gt;'Analysis'!$C$13*12,0,'Analysis'!$G$22)</x:f>
        <x:v>0</x:v>
      </x:c>
      <x:c r="F454" s="32" t="n">
        <x:f>MAX(0,E454-G454)</x:f>
        <x:v>0</x:v>
      </x:c>
      <x:c r="G454" s="16" t="n">
        <x:f>IF(OR('Analysis'!$G$21=0,B454&gt;'Analysis'!$C$13*12),0,IF('Analysis'!$C$12=0,'Analysis'!$G$21/('Analysis'!$C$13*12),'Analysis'!$G$21*(1+'Analysis'!$C$12/12)^-('Analysis'!$C$13*12-B454)*(1-(1+'Analysis'!$C$12/12)^-1)/(1-(1+'Analysis'!$C$12/12)^-('Analysis'!$C$13*12))))</x:f>
        <x:v>0</x:v>
      </x:c>
      <x:c r="H454" s="16" t="n">
        <x:f>IF(B454&gt;='Analysis'!$C$13*12,0,MAX(0,D454-G454))</x:f>
        <x:v>0</x:v>
      </x:c>
    </x:row>
    <x:row r="455" ht="22" customHeight="1">
      <x:c r="A455" s="2"/>
      <x:c r="B455" s="41" t="n">
        <x:f>450</x:f>
        <x:v>450</x:v>
      </x:c>
      <x:c r="C455" s="41" t="n">
        <x:f>ROUNDUP(B455/12,0)</x:f>
        <x:v>38</x:v>
      </x:c>
      <x:c r="D455" s="16" t="n">
        <x:f>H454</x:f>
        <x:v>0</x:v>
      </x:c>
      <x:c r="E455" s="32" t="n">
        <x:f>IF(B455&gt;'Analysis'!$C$13*12,0,'Analysis'!$G$22)</x:f>
        <x:v>0</x:v>
      </x:c>
      <x:c r="F455" s="32" t="n">
        <x:f>MAX(0,E455-G455)</x:f>
        <x:v>0</x:v>
      </x:c>
      <x:c r="G455" s="16" t="n">
        <x:f>IF(OR('Analysis'!$G$21=0,B455&gt;'Analysis'!$C$13*12),0,IF('Analysis'!$C$12=0,'Analysis'!$G$21/('Analysis'!$C$13*12),'Analysis'!$G$21*(1+'Analysis'!$C$12/12)^-('Analysis'!$C$13*12-B455)*(1-(1+'Analysis'!$C$12/12)^-1)/(1-(1+'Analysis'!$C$12/12)^-('Analysis'!$C$13*12))))</x:f>
        <x:v>0</x:v>
      </x:c>
      <x:c r="H455" s="16" t="n">
        <x:f>IF(B455&gt;='Analysis'!$C$13*12,0,MAX(0,D455-G455))</x:f>
        <x:v>0</x:v>
      </x:c>
    </x:row>
    <x:row r="456" ht="22" customHeight="1">
      <x:c r="A456" s="2"/>
      <x:c r="B456" s="41" t="n">
        <x:f>451</x:f>
        <x:v>451</x:v>
      </x:c>
      <x:c r="C456" s="41" t="n">
        <x:f>ROUNDUP(B456/12,0)</x:f>
        <x:v>38</x:v>
      </x:c>
      <x:c r="D456" s="16" t="n">
        <x:f>H455</x:f>
        <x:v>0</x:v>
      </x:c>
      <x:c r="E456" s="32" t="n">
        <x:f>IF(B456&gt;'Analysis'!$C$13*12,0,'Analysis'!$G$22)</x:f>
        <x:v>0</x:v>
      </x:c>
      <x:c r="F456" s="32" t="n">
        <x:f>MAX(0,E456-G456)</x:f>
        <x:v>0</x:v>
      </x:c>
      <x:c r="G456" s="16" t="n">
        <x:f>IF(OR('Analysis'!$G$21=0,B456&gt;'Analysis'!$C$13*12),0,IF('Analysis'!$C$12=0,'Analysis'!$G$21/('Analysis'!$C$13*12),'Analysis'!$G$21*(1+'Analysis'!$C$12/12)^-('Analysis'!$C$13*12-B456)*(1-(1+'Analysis'!$C$12/12)^-1)/(1-(1+'Analysis'!$C$12/12)^-('Analysis'!$C$13*12))))</x:f>
        <x:v>0</x:v>
      </x:c>
      <x:c r="H456" s="16" t="n">
        <x:f>IF(B456&gt;='Analysis'!$C$13*12,0,MAX(0,D456-G456))</x:f>
        <x:v>0</x:v>
      </x:c>
    </x:row>
    <x:row r="457" ht="22" customHeight="1">
      <x:c r="A457" s="2"/>
      <x:c r="B457" s="41" t="n">
        <x:f>452</x:f>
        <x:v>452</x:v>
      </x:c>
      <x:c r="C457" s="41" t="n">
        <x:f>ROUNDUP(B457/12,0)</x:f>
        <x:v>38</x:v>
      </x:c>
      <x:c r="D457" s="16" t="n">
        <x:f>H456</x:f>
        <x:v>0</x:v>
      </x:c>
      <x:c r="E457" s="32" t="n">
        <x:f>IF(B457&gt;'Analysis'!$C$13*12,0,'Analysis'!$G$22)</x:f>
        <x:v>0</x:v>
      </x:c>
      <x:c r="F457" s="32" t="n">
        <x:f>MAX(0,E457-G457)</x:f>
        <x:v>0</x:v>
      </x:c>
      <x:c r="G457" s="16" t="n">
        <x:f>IF(OR('Analysis'!$G$21=0,B457&gt;'Analysis'!$C$13*12),0,IF('Analysis'!$C$12=0,'Analysis'!$G$21/('Analysis'!$C$13*12),'Analysis'!$G$21*(1+'Analysis'!$C$12/12)^-('Analysis'!$C$13*12-B457)*(1-(1+'Analysis'!$C$12/12)^-1)/(1-(1+'Analysis'!$C$12/12)^-('Analysis'!$C$13*12))))</x:f>
        <x:v>0</x:v>
      </x:c>
      <x:c r="H457" s="16" t="n">
        <x:f>IF(B457&gt;='Analysis'!$C$13*12,0,MAX(0,D457-G457))</x:f>
        <x:v>0</x:v>
      </x:c>
    </x:row>
    <x:row r="458" ht="22" customHeight="1">
      <x:c r="A458" s="2"/>
      <x:c r="B458" s="41" t="n">
        <x:f>453</x:f>
        <x:v>453</x:v>
      </x:c>
      <x:c r="C458" s="41" t="n">
        <x:f>ROUNDUP(B458/12,0)</x:f>
        <x:v>38</x:v>
      </x:c>
      <x:c r="D458" s="16" t="n">
        <x:f>H457</x:f>
        <x:v>0</x:v>
      </x:c>
      <x:c r="E458" s="32" t="n">
        <x:f>IF(B458&gt;'Analysis'!$C$13*12,0,'Analysis'!$G$22)</x:f>
        <x:v>0</x:v>
      </x:c>
      <x:c r="F458" s="32" t="n">
        <x:f>MAX(0,E458-G458)</x:f>
        <x:v>0</x:v>
      </x:c>
      <x:c r="G458" s="16" t="n">
        <x:f>IF(OR('Analysis'!$G$21=0,B458&gt;'Analysis'!$C$13*12),0,IF('Analysis'!$C$12=0,'Analysis'!$G$21/('Analysis'!$C$13*12),'Analysis'!$G$21*(1+'Analysis'!$C$12/12)^-('Analysis'!$C$13*12-B458)*(1-(1+'Analysis'!$C$12/12)^-1)/(1-(1+'Analysis'!$C$12/12)^-('Analysis'!$C$13*12))))</x:f>
        <x:v>0</x:v>
      </x:c>
      <x:c r="H458" s="16" t="n">
        <x:f>IF(B458&gt;='Analysis'!$C$13*12,0,MAX(0,D458-G458))</x:f>
        <x:v>0</x:v>
      </x:c>
    </x:row>
    <x:row r="459" ht="22" customHeight="1">
      <x:c r="A459" s="2"/>
      <x:c r="B459" s="41" t="n">
        <x:f>454</x:f>
        <x:v>454</x:v>
      </x:c>
      <x:c r="C459" s="41" t="n">
        <x:f>ROUNDUP(B459/12,0)</x:f>
        <x:v>38</x:v>
      </x:c>
      <x:c r="D459" s="16" t="n">
        <x:f>H458</x:f>
        <x:v>0</x:v>
      </x:c>
      <x:c r="E459" s="32" t="n">
        <x:f>IF(B459&gt;'Analysis'!$C$13*12,0,'Analysis'!$G$22)</x:f>
        <x:v>0</x:v>
      </x:c>
      <x:c r="F459" s="32" t="n">
        <x:f>MAX(0,E459-G459)</x:f>
        <x:v>0</x:v>
      </x:c>
      <x:c r="G459" s="16" t="n">
        <x:f>IF(OR('Analysis'!$G$21=0,B459&gt;'Analysis'!$C$13*12),0,IF('Analysis'!$C$12=0,'Analysis'!$G$21/('Analysis'!$C$13*12),'Analysis'!$G$21*(1+'Analysis'!$C$12/12)^-('Analysis'!$C$13*12-B459)*(1-(1+'Analysis'!$C$12/12)^-1)/(1-(1+'Analysis'!$C$12/12)^-('Analysis'!$C$13*12))))</x:f>
        <x:v>0</x:v>
      </x:c>
      <x:c r="H459" s="16" t="n">
        <x:f>IF(B459&gt;='Analysis'!$C$13*12,0,MAX(0,D459-G459))</x:f>
        <x:v>0</x:v>
      </x:c>
    </x:row>
    <x:row r="460" ht="22" customHeight="1">
      <x:c r="A460" s="2"/>
      <x:c r="B460" s="41" t="n">
        <x:f>455</x:f>
        <x:v>455</x:v>
      </x:c>
      <x:c r="C460" s="41" t="n">
        <x:f>ROUNDUP(B460/12,0)</x:f>
        <x:v>38</x:v>
      </x:c>
      <x:c r="D460" s="16" t="n">
        <x:f>H459</x:f>
        <x:v>0</x:v>
      </x:c>
      <x:c r="E460" s="32" t="n">
        <x:f>IF(B460&gt;'Analysis'!$C$13*12,0,'Analysis'!$G$22)</x:f>
        <x:v>0</x:v>
      </x:c>
      <x:c r="F460" s="32" t="n">
        <x:f>MAX(0,E460-G460)</x:f>
        <x:v>0</x:v>
      </x:c>
      <x:c r="G460" s="16" t="n">
        <x:f>IF(OR('Analysis'!$G$21=0,B460&gt;'Analysis'!$C$13*12),0,IF('Analysis'!$C$12=0,'Analysis'!$G$21/('Analysis'!$C$13*12),'Analysis'!$G$21*(1+'Analysis'!$C$12/12)^-('Analysis'!$C$13*12-B460)*(1-(1+'Analysis'!$C$12/12)^-1)/(1-(1+'Analysis'!$C$12/12)^-('Analysis'!$C$13*12))))</x:f>
        <x:v>0</x:v>
      </x:c>
      <x:c r="H460" s="16" t="n">
        <x:f>IF(B460&gt;='Analysis'!$C$13*12,0,MAX(0,D460-G460))</x:f>
        <x:v>0</x:v>
      </x:c>
    </x:row>
    <x:row r="461" ht="22" customHeight="1">
      <x:c r="A461" s="2"/>
      <x:c r="B461" s="41" t="n">
        <x:f>456</x:f>
        <x:v>456</x:v>
      </x:c>
      <x:c r="C461" s="41" t="n">
        <x:f>ROUNDUP(B461/12,0)</x:f>
        <x:v>38</x:v>
      </x:c>
      <x:c r="D461" s="16" t="n">
        <x:f>H460</x:f>
        <x:v>0</x:v>
      </x:c>
      <x:c r="E461" s="32" t="n">
        <x:f>IF(B461&gt;'Analysis'!$C$13*12,0,'Analysis'!$G$22)</x:f>
        <x:v>0</x:v>
      </x:c>
      <x:c r="F461" s="32" t="n">
        <x:f>MAX(0,E461-G461)</x:f>
        <x:v>0</x:v>
      </x:c>
      <x:c r="G461" s="16" t="n">
        <x:f>IF(OR('Analysis'!$G$21=0,B461&gt;'Analysis'!$C$13*12),0,IF('Analysis'!$C$12=0,'Analysis'!$G$21/('Analysis'!$C$13*12),'Analysis'!$G$21*(1+'Analysis'!$C$12/12)^-('Analysis'!$C$13*12-B461)*(1-(1+'Analysis'!$C$12/12)^-1)/(1-(1+'Analysis'!$C$12/12)^-('Analysis'!$C$13*12))))</x:f>
        <x:v>0</x:v>
      </x:c>
      <x:c r="H461" s="16" t="n">
        <x:f>IF(B461&gt;='Analysis'!$C$13*12,0,MAX(0,D461-G461))</x:f>
        <x:v>0</x:v>
      </x:c>
    </x:row>
    <x:row r="462" ht="22" customHeight="1">
      <x:c r="A462" s="2"/>
      <x:c r="B462" s="41" t="n">
        <x:f>457</x:f>
        <x:v>457</x:v>
      </x:c>
      <x:c r="C462" s="41" t="n">
        <x:f>ROUNDUP(B462/12,0)</x:f>
        <x:v>39</x:v>
      </x:c>
      <x:c r="D462" s="16" t="n">
        <x:f>H461</x:f>
        <x:v>0</x:v>
      </x:c>
      <x:c r="E462" s="32" t="n">
        <x:f>IF(B462&gt;'Analysis'!$C$13*12,0,'Analysis'!$G$22)</x:f>
        <x:v>0</x:v>
      </x:c>
      <x:c r="F462" s="32" t="n">
        <x:f>MAX(0,E462-G462)</x:f>
        <x:v>0</x:v>
      </x:c>
      <x:c r="G462" s="16" t="n">
        <x:f>IF(OR('Analysis'!$G$21=0,B462&gt;'Analysis'!$C$13*12),0,IF('Analysis'!$C$12=0,'Analysis'!$G$21/('Analysis'!$C$13*12),'Analysis'!$G$21*(1+'Analysis'!$C$12/12)^-('Analysis'!$C$13*12-B462)*(1-(1+'Analysis'!$C$12/12)^-1)/(1-(1+'Analysis'!$C$12/12)^-('Analysis'!$C$13*12))))</x:f>
        <x:v>0</x:v>
      </x:c>
      <x:c r="H462" s="16" t="n">
        <x:f>IF(B462&gt;='Analysis'!$C$13*12,0,MAX(0,D462-G462))</x:f>
        <x:v>0</x:v>
      </x:c>
    </x:row>
    <x:row r="463" ht="22" customHeight="1">
      <x:c r="A463" s="2"/>
      <x:c r="B463" s="41" t="n">
        <x:f>458</x:f>
        <x:v>458</x:v>
      </x:c>
      <x:c r="C463" s="41" t="n">
        <x:f>ROUNDUP(B463/12,0)</x:f>
        <x:v>39</x:v>
      </x:c>
      <x:c r="D463" s="16" t="n">
        <x:f>H462</x:f>
        <x:v>0</x:v>
      </x:c>
      <x:c r="E463" s="32" t="n">
        <x:f>IF(B463&gt;'Analysis'!$C$13*12,0,'Analysis'!$G$22)</x:f>
        <x:v>0</x:v>
      </x:c>
      <x:c r="F463" s="32" t="n">
        <x:f>MAX(0,E463-G463)</x:f>
        <x:v>0</x:v>
      </x:c>
      <x:c r="G463" s="16" t="n">
        <x:f>IF(OR('Analysis'!$G$21=0,B463&gt;'Analysis'!$C$13*12),0,IF('Analysis'!$C$12=0,'Analysis'!$G$21/('Analysis'!$C$13*12),'Analysis'!$G$21*(1+'Analysis'!$C$12/12)^-('Analysis'!$C$13*12-B463)*(1-(1+'Analysis'!$C$12/12)^-1)/(1-(1+'Analysis'!$C$12/12)^-('Analysis'!$C$13*12))))</x:f>
        <x:v>0</x:v>
      </x:c>
      <x:c r="H463" s="16" t="n">
        <x:f>IF(B463&gt;='Analysis'!$C$13*12,0,MAX(0,D463-G463))</x:f>
        <x:v>0</x:v>
      </x:c>
    </x:row>
    <x:row r="464" ht="22" customHeight="1">
      <x:c r="A464" s="2"/>
      <x:c r="B464" s="41" t="n">
        <x:f>459</x:f>
        <x:v>459</x:v>
      </x:c>
      <x:c r="C464" s="41" t="n">
        <x:f>ROUNDUP(B464/12,0)</x:f>
        <x:v>39</x:v>
      </x:c>
      <x:c r="D464" s="16" t="n">
        <x:f>H463</x:f>
        <x:v>0</x:v>
      </x:c>
      <x:c r="E464" s="32" t="n">
        <x:f>IF(B464&gt;'Analysis'!$C$13*12,0,'Analysis'!$G$22)</x:f>
        <x:v>0</x:v>
      </x:c>
      <x:c r="F464" s="32" t="n">
        <x:f>MAX(0,E464-G464)</x:f>
        <x:v>0</x:v>
      </x:c>
      <x:c r="G464" s="16" t="n">
        <x:f>IF(OR('Analysis'!$G$21=0,B464&gt;'Analysis'!$C$13*12),0,IF('Analysis'!$C$12=0,'Analysis'!$G$21/('Analysis'!$C$13*12),'Analysis'!$G$21*(1+'Analysis'!$C$12/12)^-('Analysis'!$C$13*12-B464)*(1-(1+'Analysis'!$C$12/12)^-1)/(1-(1+'Analysis'!$C$12/12)^-('Analysis'!$C$13*12))))</x:f>
        <x:v>0</x:v>
      </x:c>
      <x:c r="H464" s="16" t="n">
        <x:f>IF(B464&gt;='Analysis'!$C$13*12,0,MAX(0,D464-G464))</x:f>
        <x:v>0</x:v>
      </x:c>
    </x:row>
    <x:row r="465" ht="22" customHeight="1">
      <x:c r="A465" s="2"/>
      <x:c r="B465" s="41" t="n">
        <x:f>460</x:f>
        <x:v>460</x:v>
      </x:c>
      <x:c r="C465" s="41" t="n">
        <x:f>ROUNDUP(B465/12,0)</x:f>
        <x:v>39</x:v>
      </x:c>
      <x:c r="D465" s="16" t="n">
        <x:f>H464</x:f>
        <x:v>0</x:v>
      </x:c>
      <x:c r="E465" s="32" t="n">
        <x:f>IF(B465&gt;'Analysis'!$C$13*12,0,'Analysis'!$G$22)</x:f>
        <x:v>0</x:v>
      </x:c>
      <x:c r="F465" s="32" t="n">
        <x:f>MAX(0,E465-G465)</x:f>
        <x:v>0</x:v>
      </x:c>
      <x:c r="G465" s="16" t="n">
        <x:f>IF(OR('Analysis'!$G$21=0,B465&gt;'Analysis'!$C$13*12),0,IF('Analysis'!$C$12=0,'Analysis'!$G$21/('Analysis'!$C$13*12),'Analysis'!$G$21*(1+'Analysis'!$C$12/12)^-('Analysis'!$C$13*12-B465)*(1-(1+'Analysis'!$C$12/12)^-1)/(1-(1+'Analysis'!$C$12/12)^-('Analysis'!$C$13*12))))</x:f>
        <x:v>0</x:v>
      </x:c>
      <x:c r="H465" s="16" t="n">
        <x:f>IF(B465&gt;='Analysis'!$C$13*12,0,MAX(0,D465-G465))</x:f>
        <x:v>0</x:v>
      </x:c>
    </x:row>
    <x:row r="466" ht="22" customHeight="1">
      <x:c r="A466" s="2"/>
      <x:c r="B466" s="41" t="n">
        <x:f>461</x:f>
        <x:v>461</x:v>
      </x:c>
      <x:c r="C466" s="41" t="n">
        <x:f>ROUNDUP(B466/12,0)</x:f>
        <x:v>39</x:v>
      </x:c>
      <x:c r="D466" s="16" t="n">
        <x:f>H465</x:f>
        <x:v>0</x:v>
      </x:c>
      <x:c r="E466" s="32" t="n">
        <x:f>IF(B466&gt;'Analysis'!$C$13*12,0,'Analysis'!$G$22)</x:f>
        <x:v>0</x:v>
      </x:c>
      <x:c r="F466" s="32" t="n">
        <x:f>MAX(0,E466-G466)</x:f>
        <x:v>0</x:v>
      </x:c>
      <x:c r="G466" s="16" t="n">
        <x:f>IF(OR('Analysis'!$G$21=0,B466&gt;'Analysis'!$C$13*12),0,IF('Analysis'!$C$12=0,'Analysis'!$G$21/('Analysis'!$C$13*12),'Analysis'!$G$21*(1+'Analysis'!$C$12/12)^-('Analysis'!$C$13*12-B466)*(1-(1+'Analysis'!$C$12/12)^-1)/(1-(1+'Analysis'!$C$12/12)^-('Analysis'!$C$13*12))))</x:f>
        <x:v>0</x:v>
      </x:c>
      <x:c r="H466" s="16" t="n">
        <x:f>IF(B466&gt;='Analysis'!$C$13*12,0,MAX(0,D466-G466))</x:f>
        <x:v>0</x:v>
      </x:c>
    </x:row>
    <x:row r="467" ht="22" customHeight="1">
      <x:c r="A467" s="2"/>
      <x:c r="B467" s="41" t="n">
        <x:f>462</x:f>
        <x:v>462</x:v>
      </x:c>
      <x:c r="C467" s="41" t="n">
        <x:f>ROUNDUP(B467/12,0)</x:f>
        <x:v>39</x:v>
      </x:c>
      <x:c r="D467" s="16" t="n">
        <x:f>H466</x:f>
        <x:v>0</x:v>
      </x:c>
      <x:c r="E467" s="32" t="n">
        <x:f>IF(B467&gt;'Analysis'!$C$13*12,0,'Analysis'!$G$22)</x:f>
        <x:v>0</x:v>
      </x:c>
      <x:c r="F467" s="32" t="n">
        <x:f>MAX(0,E467-G467)</x:f>
        <x:v>0</x:v>
      </x:c>
      <x:c r="G467" s="16" t="n">
        <x:f>IF(OR('Analysis'!$G$21=0,B467&gt;'Analysis'!$C$13*12),0,IF('Analysis'!$C$12=0,'Analysis'!$G$21/('Analysis'!$C$13*12),'Analysis'!$G$21*(1+'Analysis'!$C$12/12)^-('Analysis'!$C$13*12-B467)*(1-(1+'Analysis'!$C$12/12)^-1)/(1-(1+'Analysis'!$C$12/12)^-('Analysis'!$C$13*12))))</x:f>
        <x:v>0</x:v>
      </x:c>
      <x:c r="H467" s="16" t="n">
        <x:f>IF(B467&gt;='Analysis'!$C$13*12,0,MAX(0,D467-G467))</x:f>
        <x:v>0</x:v>
      </x:c>
    </x:row>
    <x:row r="468" ht="22" customHeight="1">
      <x:c r="A468" s="2"/>
      <x:c r="B468" s="41" t="n">
        <x:f>463</x:f>
        <x:v>463</x:v>
      </x:c>
      <x:c r="C468" s="41" t="n">
        <x:f>ROUNDUP(B468/12,0)</x:f>
        <x:v>39</x:v>
      </x:c>
      <x:c r="D468" s="16" t="n">
        <x:f>H467</x:f>
        <x:v>0</x:v>
      </x:c>
      <x:c r="E468" s="32" t="n">
        <x:f>IF(B468&gt;'Analysis'!$C$13*12,0,'Analysis'!$G$22)</x:f>
        <x:v>0</x:v>
      </x:c>
      <x:c r="F468" s="32" t="n">
        <x:f>MAX(0,E468-G468)</x:f>
        <x:v>0</x:v>
      </x:c>
      <x:c r="G468" s="16" t="n">
        <x:f>IF(OR('Analysis'!$G$21=0,B468&gt;'Analysis'!$C$13*12),0,IF('Analysis'!$C$12=0,'Analysis'!$G$21/('Analysis'!$C$13*12),'Analysis'!$G$21*(1+'Analysis'!$C$12/12)^-('Analysis'!$C$13*12-B468)*(1-(1+'Analysis'!$C$12/12)^-1)/(1-(1+'Analysis'!$C$12/12)^-('Analysis'!$C$13*12))))</x:f>
        <x:v>0</x:v>
      </x:c>
      <x:c r="H468" s="16" t="n">
        <x:f>IF(B468&gt;='Analysis'!$C$13*12,0,MAX(0,D468-G468))</x:f>
        <x:v>0</x:v>
      </x:c>
    </x:row>
    <x:row r="469" ht="22" customHeight="1">
      <x:c r="A469" s="2"/>
      <x:c r="B469" s="41" t="n">
        <x:f>464</x:f>
        <x:v>464</x:v>
      </x:c>
      <x:c r="C469" s="41" t="n">
        <x:f>ROUNDUP(B469/12,0)</x:f>
        <x:v>39</x:v>
      </x:c>
      <x:c r="D469" s="16" t="n">
        <x:f>H468</x:f>
        <x:v>0</x:v>
      </x:c>
      <x:c r="E469" s="32" t="n">
        <x:f>IF(B469&gt;'Analysis'!$C$13*12,0,'Analysis'!$G$22)</x:f>
        <x:v>0</x:v>
      </x:c>
      <x:c r="F469" s="32" t="n">
        <x:f>MAX(0,E469-G469)</x:f>
        <x:v>0</x:v>
      </x:c>
      <x:c r="G469" s="16" t="n">
        <x:f>IF(OR('Analysis'!$G$21=0,B469&gt;'Analysis'!$C$13*12),0,IF('Analysis'!$C$12=0,'Analysis'!$G$21/('Analysis'!$C$13*12),'Analysis'!$G$21*(1+'Analysis'!$C$12/12)^-('Analysis'!$C$13*12-B469)*(1-(1+'Analysis'!$C$12/12)^-1)/(1-(1+'Analysis'!$C$12/12)^-('Analysis'!$C$13*12))))</x:f>
        <x:v>0</x:v>
      </x:c>
      <x:c r="H469" s="16" t="n">
        <x:f>IF(B469&gt;='Analysis'!$C$13*12,0,MAX(0,D469-G469))</x:f>
        <x:v>0</x:v>
      </x:c>
    </x:row>
    <x:row r="470" ht="22" customHeight="1">
      <x:c r="A470" s="2"/>
      <x:c r="B470" s="41" t="n">
        <x:f>465</x:f>
        <x:v>465</x:v>
      </x:c>
      <x:c r="C470" s="41" t="n">
        <x:f>ROUNDUP(B470/12,0)</x:f>
        <x:v>39</x:v>
      </x:c>
      <x:c r="D470" s="16" t="n">
        <x:f>H469</x:f>
        <x:v>0</x:v>
      </x:c>
      <x:c r="E470" s="32" t="n">
        <x:f>IF(B470&gt;'Analysis'!$C$13*12,0,'Analysis'!$G$22)</x:f>
        <x:v>0</x:v>
      </x:c>
      <x:c r="F470" s="32" t="n">
        <x:f>MAX(0,E470-G470)</x:f>
        <x:v>0</x:v>
      </x:c>
      <x:c r="G470" s="16" t="n">
        <x:f>IF(OR('Analysis'!$G$21=0,B470&gt;'Analysis'!$C$13*12),0,IF('Analysis'!$C$12=0,'Analysis'!$G$21/('Analysis'!$C$13*12),'Analysis'!$G$21*(1+'Analysis'!$C$12/12)^-('Analysis'!$C$13*12-B470)*(1-(1+'Analysis'!$C$12/12)^-1)/(1-(1+'Analysis'!$C$12/12)^-('Analysis'!$C$13*12))))</x:f>
        <x:v>0</x:v>
      </x:c>
      <x:c r="H470" s="16" t="n">
        <x:f>IF(B470&gt;='Analysis'!$C$13*12,0,MAX(0,D470-G470))</x:f>
        <x:v>0</x:v>
      </x:c>
    </x:row>
    <x:row r="471" ht="22" customHeight="1">
      <x:c r="A471" s="2"/>
      <x:c r="B471" s="41" t="n">
        <x:f>466</x:f>
        <x:v>466</x:v>
      </x:c>
      <x:c r="C471" s="41" t="n">
        <x:f>ROUNDUP(B471/12,0)</x:f>
        <x:v>39</x:v>
      </x:c>
      <x:c r="D471" s="16" t="n">
        <x:f>H470</x:f>
        <x:v>0</x:v>
      </x:c>
      <x:c r="E471" s="32" t="n">
        <x:f>IF(B471&gt;'Analysis'!$C$13*12,0,'Analysis'!$G$22)</x:f>
        <x:v>0</x:v>
      </x:c>
      <x:c r="F471" s="32" t="n">
        <x:f>MAX(0,E471-G471)</x:f>
        <x:v>0</x:v>
      </x:c>
      <x:c r="G471" s="16" t="n">
        <x:f>IF(OR('Analysis'!$G$21=0,B471&gt;'Analysis'!$C$13*12),0,IF('Analysis'!$C$12=0,'Analysis'!$G$21/('Analysis'!$C$13*12),'Analysis'!$G$21*(1+'Analysis'!$C$12/12)^-('Analysis'!$C$13*12-B471)*(1-(1+'Analysis'!$C$12/12)^-1)/(1-(1+'Analysis'!$C$12/12)^-('Analysis'!$C$13*12))))</x:f>
        <x:v>0</x:v>
      </x:c>
      <x:c r="H471" s="16" t="n">
        <x:f>IF(B471&gt;='Analysis'!$C$13*12,0,MAX(0,D471-G471))</x:f>
        <x:v>0</x:v>
      </x:c>
    </x:row>
    <x:row r="472" ht="22" customHeight="1">
      <x:c r="A472" s="2"/>
      <x:c r="B472" s="41" t="n">
        <x:f>467</x:f>
        <x:v>467</x:v>
      </x:c>
      <x:c r="C472" s="41" t="n">
        <x:f>ROUNDUP(B472/12,0)</x:f>
        <x:v>39</x:v>
      </x:c>
      <x:c r="D472" s="16" t="n">
        <x:f>H471</x:f>
        <x:v>0</x:v>
      </x:c>
      <x:c r="E472" s="32" t="n">
        <x:f>IF(B472&gt;'Analysis'!$C$13*12,0,'Analysis'!$G$22)</x:f>
        <x:v>0</x:v>
      </x:c>
      <x:c r="F472" s="32" t="n">
        <x:f>MAX(0,E472-G472)</x:f>
        <x:v>0</x:v>
      </x:c>
      <x:c r="G472" s="16" t="n">
        <x:f>IF(OR('Analysis'!$G$21=0,B472&gt;'Analysis'!$C$13*12),0,IF('Analysis'!$C$12=0,'Analysis'!$G$21/('Analysis'!$C$13*12),'Analysis'!$G$21*(1+'Analysis'!$C$12/12)^-('Analysis'!$C$13*12-B472)*(1-(1+'Analysis'!$C$12/12)^-1)/(1-(1+'Analysis'!$C$12/12)^-('Analysis'!$C$13*12))))</x:f>
        <x:v>0</x:v>
      </x:c>
      <x:c r="H472" s="16" t="n">
        <x:f>IF(B472&gt;='Analysis'!$C$13*12,0,MAX(0,D472-G472))</x:f>
        <x:v>0</x:v>
      </x:c>
    </x:row>
    <x:row r="473" ht="22" customHeight="1">
      <x:c r="A473" s="2"/>
      <x:c r="B473" s="41" t="n">
        <x:f>468</x:f>
        <x:v>468</x:v>
      </x:c>
      <x:c r="C473" s="41" t="n">
        <x:f>ROUNDUP(B473/12,0)</x:f>
        <x:v>39</x:v>
      </x:c>
      <x:c r="D473" s="16" t="n">
        <x:f>H472</x:f>
        <x:v>0</x:v>
      </x:c>
      <x:c r="E473" s="32" t="n">
        <x:f>IF(B473&gt;'Analysis'!$C$13*12,0,'Analysis'!$G$22)</x:f>
        <x:v>0</x:v>
      </x:c>
      <x:c r="F473" s="32" t="n">
        <x:f>MAX(0,E473-G473)</x:f>
        <x:v>0</x:v>
      </x:c>
      <x:c r="G473" s="16" t="n">
        <x:f>IF(OR('Analysis'!$G$21=0,B473&gt;'Analysis'!$C$13*12),0,IF('Analysis'!$C$12=0,'Analysis'!$G$21/('Analysis'!$C$13*12),'Analysis'!$G$21*(1+'Analysis'!$C$12/12)^-('Analysis'!$C$13*12-B473)*(1-(1+'Analysis'!$C$12/12)^-1)/(1-(1+'Analysis'!$C$12/12)^-('Analysis'!$C$13*12))))</x:f>
        <x:v>0</x:v>
      </x:c>
      <x:c r="H473" s="16" t="n">
        <x:f>IF(B473&gt;='Analysis'!$C$13*12,0,MAX(0,D473-G473))</x:f>
        <x:v>0</x:v>
      </x:c>
    </x:row>
    <x:row r="474" ht="22" customHeight="1">
      <x:c r="A474" s="2"/>
      <x:c r="B474" s="41" t="n">
        <x:f>469</x:f>
        <x:v>469</x:v>
      </x:c>
      <x:c r="C474" s="41" t="n">
        <x:f>ROUNDUP(B474/12,0)</x:f>
        <x:v>40</x:v>
      </x:c>
      <x:c r="D474" s="16" t="n">
        <x:f>H473</x:f>
        <x:v>0</x:v>
      </x:c>
      <x:c r="E474" s="32" t="n">
        <x:f>IF(B474&gt;'Analysis'!$C$13*12,0,'Analysis'!$G$22)</x:f>
        <x:v>0</x:v>
      </x:c>
      <x:c r="F474" s="32" t="n">
        <x:f>MAX(0,E474-G474)</x:f>
        <x:v>0</x:v>
      </x:c>
      <x:c r="G474" s="16" t="n">
        <x:f>IF(OR('Analysis'!$G$21=0,B474&gt;'Analysis'!$C$13*12),0,IF('Analysis'!$C$12=0,'Analysis'!$G$21/('Analysis'!$C$13*12),'Analysis'!$G$21*(1+'Analysis'!$C$12/12)^-('Analysis'!$C$13*12-B474)*(1-(1+'Analysis'!$C$12/12)^-1)/(1-(1+'Analysis'!$C$12/12)^-('Analysis'!$C$13*12))))</x:f>
        <x:v>0</x:v>
      </x:c>
      <x:c r="H474" s="16" t="n">
        <x:f>IF(B474&gt;='Analysis'!$C$13*12,0,MAX(0,D474-G474))</x:f>
        <x:v>0</x:v>
      </x:c>
    </x:row>
    <x:row r="475" ht="22" customHeight="1">
      <x:c r="A475" s="2"/>
      <x:c r="B475" s="41" t="n">
        <x:f>470</x:f>
        <x:v>470</x:v>
      </x:c>
      <x:c r="C475" s="41" t="n">
        <x:f>ROUNDUP(B475/12,0)</x:f>
        <x:v>40</x:v>
      </x:c>
      <x:c r="D475" s="16" t="n">
        <x:f>H474</x:f>
        <x:v>0</x:v>
      </x:c>
      <x:c r="E475" s="32" t="n">
        <x:f>IF(B475&gt;'Analysis'!$C$13*12,0,'Analysis'!$G$22)</x:f>
        <x:v>0</x:v>
      </x:c>
      <x:c r="F475" s="32" t="n">
        <x:f>MAX(0,E475-G475)</x:f>
        <x:v>0</x:v>
      </x:c>
      <x:c r="G475" s="16" t="n">
        <x:f>IF(OR('Analysis'!$G$21=0,B475&gt;'Analysis'!$C$13*12),0,IF('Analysis'!$C$12=0,'Analysis'!$G$21/('Analysis'!$C$13*12),'Analysis'!$G$21*(1+'Analysis'!$C$12/12)^-('Analysis'!$C$13*12-B475)*(1-(1+'Analysis'!$C$12/12)^-1)/(1-(1+'Analysis'!$C$12/12)^-('Analysis'!$C$13*12))))</x:f>
        <x:v>0</x:v>
      </x:c>
      <x:c r="H475" s="16" t="n">
        <x:f>IF(B475&gt;='Analysis'!$C$13*12,0,MAX(0,D475-G475))</x:f>
        <x:v>0</x:v>
      </x:c>
    </x:row>
    <x:row r="476" ht="22" customHeight="1">
      <x:c r="A476" s="2"/>
      <x:c r="B476" s="41" t="n">
        <x:f>471</x:f>
        <x:v>471</x:v>
      </x:c>
      <x:c r="C476" s="41" t="n">
        <x:f>ROUNDUP(B476/12,0)</x:f>
        <x:v>40</x:v>
      </x:c>
      <x:c r="D476" s="16" t="n">
        <x:f>H475</x:f>
        <x:v>0</x:v>
      </x:c>
      <x:c r="E476" s="32" t="n">
        <x:f>IF(B476&gt;'Analysis'!$C$13*12,0,'Analysis'!$G$22)</x:f>
        <x:v>0</x:v>
      </x:c>
      <x:c r="F476" s="32" t="n">
        <x:f>MAX(0,E476-G476)</x:f>
        <x:v>0</x:v>
      </x:c>
      <x:c r="G476" s="16" t="n">
        <x:f>IF(OR('Analysis'!$G$21=0,B476&gt;'Analysis'!$C$13*12),0,IF('Analysis'!$C$12=0,'Analysis'!$G$21/('Analysis'!$C$13*12),'Analysis'!$G$21*(1+'Analysis'!$C$12/12)^-('Analysis'!$C$13*12-B476)*(1-(1+'Analysis'!$C$12/12)^-1)/(1-(1+'Analysis'!$C$12/12)^-('Analysis'!$C$13*12))))</x:f>
        <x:v>0</x:v>
      </x:c>
      <x:c r="H476" s="16" t="n">
        <x:f>IF(B476&gt;='Analysis'!$C$13*12,0,MAX(0,D476-G476))</x:f>
        <x:v>0</x:v>
      </x:c>
    </x:row>
    <x:row r="477" ht="22" customHeight="1">
      <x:c r="A477" s="2"/>
      <x:c r="B477" s="41" t="n">
        <x:f>472</x:f>
        <x:v>472</x:v>
      </x:c>
      <x:c r="C477" s="41" t="n">
        <x:f>ROUNDUP(B477/12,0)</x:f>
        <x:v>40</x:v>
      </x:c>
      <x:c r="D477" s="16" t="n">
        <x:f>H476</x:f>
        <x:v>0</x:v>
      </x:c>
      <x:c r="E477" s="32" t="n">
        <x:f>IF(B477&gt;'Analysis'!$C$13*12,0,'Analysis'!$G$22)</x:f>
        <x:v>0</x:v>
      </x:c>
      <x:c r="F477" s="32" t="n">
        <x:f>MAX(0,E477-G477)</x:f>
        <x:v>0</x:v>
      </x:c>
      <x:c r="G477" s="16" t="n">
        <x:f>IF(OR('Analysis'!$G$21=0,B477&gt;'Analysis'!$C$13*12),0,IF('Analysis'!$C$12=0,'Analysis'!$G$21/('Analysis'!$C$13*12),'Analysis'!$G$21*(1+'Analysis'!$C$12/12)^-('Analysis'!$C$13*12-B477)*(1-(1+'Analysis'!$C$12/12)^-1)/(1-(1+'Analysis'!$C$12/12)^-('Analysis'!$C$13*12))))</x:f>
        <x:v>0</x:v>
      </x:c>
      <x:c r="H477" s="16" t="n">
        <x:f>IF(B477&gt;='Analysis'!$C$13*12,0,MAX(0,D477-G477))</x:f>
        <x:v>0</x:v>
      </x:c>
    </x:row>
    <x:row r="478" ht="22" customHeight="1">
      <x:c r="A478" s="2"/>
      <x:c r="B478" s="41" t="n">
        <x:f>473</x:f>
        <x:v>473</x:v>
      </x:c>
      <x:c r="C478" s="41" t="n">
        <x:f>ROUNDUP(B478/12,0)</x:f>
        <x:v>40</x:v>
      </x:c>
      <x:c r="D478" s="16" t="n">
        <x:f>H477</x:f>
        <x:v>0</x:v>
      </x:c>
      <x:c r="E478" s="32" t="n">
        <x:f>IF(B478&gt;'Analysis'!$C$13*12,0,'Analysis'!$G$22)</x:f>
        <x:v>0</x:v>
      </x:c>
      <x:c r="F478" s="32" t="n">
        <x:f>MAX(0,E478-G478)</x:f>
        <x:v>0</x:v>
      </x:c>
      <x:c r="G478" s="16" t="n">
        <x:f>IF(OR('Analysis'!$G$21=0,B478&gt;'Analysis'!$C$13*12),0,IF('Analysis'!$C$12=0,'Analysis'!$G$21/('Analysis'!$C$13*12),'Analysis'!$G$21*(1+'Analysis'!$C$12/12)^-('Analysis'!$C$13*12-B478)*(1-(1+'Analysis'!$C$12/12)^-1)/(1-(1+'Analysis'!$C$12/12)^-('Analysis'!$C$13*12))))</x:f>
        <x:v>0</x:v>
      </x:c>
      <x:c r="H478" s="16" t="n">
        <x:f>IF(B478&gt;='Analysis'!$C$13*12,0,MAX(0,D478-G478))</x:f>
        <x:v>0</x:v>
      </x:c>
    </x:row>
    <x:row r="479" ht="22" customHeight="1">
      <x:c r="A479" s="2"/>
      <x:c r="B479" s="41" t="n">
        <x:f>474</x:f>
        <x:v>474</x:v>
      </x:c>
      <x:c r="C479" s="41" t="n">
        <x:f>ROUNDUP(B479/12,0)</x:f>
        <x:v>40</x:v>
      </x:c>
      <x:c r="D479" s="16" t="n">
        <x:f>H478</x:f>
        <x:v>0</x:v>
      </x:c>
      <x:c r="E479" s="32" t="n">
        <x:f>IF(B479&gt;'Analysis'!$C$13*12,0,'Analysis'!$G$22)</x:f>
        <x:v>0</x:v>
      </x:c>
      <x:c r="F479" s="32" t="n">
        <x:f>MAX(0,E479-G479)</x:f>
        <x:v>0</x:v>
      </x:c>
      <x:c r="G479" s="16" t="n">
        <x:f>IF(OR('Analysis'!$G$21=0,B479&gt;'Analysis'!$C$13*12),0,IF('Analysis'!$C$12=0,'Analysis'!$G$21/('Analysis'!$C$13*12),'Analysis'!$G$21*(1+'Analysis'!$C$12/12)^-('Analysis'!$C$13*12-B479)*(1-(1+'Analysis'!$C$12/12)^-1)/(1-(1+'Analysis'!$C$12/12)^-('Analysis'!$C$13*12))))</x:f>
        <x:v>0</x:v>
      </x:c>
      <x:c r="H479" s="16" t="n">
        <x:f>IF(B479&gt;='Analysis'!$C$13*12,0,MAX(0,D479-G479))</x:f>
        <x:v>0</x:v>
      </x:c>
    </x:row>
    <x:row r="480" ht="22" customHeight="1">
      <x:c r="A480" s="2"/>
      <x:c r="B480" s="41" t="n">
        <x:f>475</x:f>
        <x:v>475</x:v>
      </x:c>
      <x:c r="C480" s="41" t="n">
        <x:f>ROUNDUP(B480/12,0)</x:f>
        <x:v>40</x:v>
      </x:c>
      <x:c r="D480" s="16" t="n">
        <x:f>H479</x:f>
        <x:v>0</x:v>
      </x:c>
      <x:c r="E480" s="32" t="n">
        <x:f>IF(B480&gt;'Analysis'!$C$13*12,0,'Analysis'!$G$22)</x:f>
        <x:v>0</x:v>
      </x:c>
      <x:c r="F480" s="32" t="n">
        <x:f>MAX(0,E480-G480)</x:f>
        <x:v>0</x:v>
      </x:c>
      <x:c r="G480" s="16" t="n">
        <x:f>IF(OR('Analysis'!$G$21=0,B480&gt;'Analysis'!$C$13*12),0,IF('Analysis'!$C$12=0,'Analysis'!$G$21/('Analysis'!$C$13*12),'Analysis'!$G$21*(1+'Analysis'!$C$12/12)^-('Analysis'!$C$13*12-B480)*(1-(1+'Analysis'!$C$12/12)^-1)/(1-(1+'Analysis'!$C$12/12)^-('Analysis'!$C$13*12))))</x:f>
        <x:v>0</x:v>
      </x:c>
      <x:c r="H480" s="16" t="n">
        <x:f>IF(B480&gt;='Analysis'!$C$13*12,0,MAX(0,D480-G480))</x:f>
        <x:v>0</x:v>
      </x:c>
    </x:row>
    <x:row r="481" ht="22" customHeight="1">
      <x:c r="A481" s="2"/>
      <x:c r="B481" s="41" t="n">
        <x:f>476</x:f>
        <x:v>476</x:v>
      </x:c>
      <x:c r="C481" s="41" t="n">
        <x:f>ROUNDUP(B481/12,0)</x:f>
        <x:v>40</x:v>
      </x:c>
      <x:c r="D481" s="16" t="n">
        <x:f>H480</x:f>
        <x:v>0</x:v>
      </x:c>
      <x:c r="E481" s="32" t="n">
        <x:f>IF(B481&gt;'Analysis'!$C$13*12,0,'Analysis'!$G$22)</x:f>
        <x:v>0</x:v>
      </x:c>
      <x:c r="F481" s="32" t="n">
        <x:f>MAX(0,E481-G481)</x:f>
        <x:v>0</x:v>
      </x:c>
      <x:c r="G481" s="16" t="n">
        <x:f>IF(OR('Analysis'!$G$21=0,B481&gt;'Analysis'!$C$13*12),0,IF('Analysis'!$C$12=0,'Analysis'!$G$21/('Analysis'!$C$13*12),'Analysis'!$G$21*(1+'Analysis'!$C$12/12)^-('Analysis'!$C$13*12-B481)*(1-(1+'Analysis'!$C$12/12)^-1)/(1-(1+'Analysis'!$C$12/12)^-('Analysis'!$C$13*12))))</x:f>
        <x:v>0</x:v>
      </x:c>
      <x:c r="H481" s="16" t="n">
        <x:f>IF(B481&gt;='Analysis'!$C$13*12,0,MAX(0,D481-G481))</x:f>
        <x:v>0</x:v>
      </x:c>
    </x:row>
    <x:row r="482" ht="22" customHeight="1">
      <x:c r="A482" s="2"/>
      <x:c r="B482" s="41" t="n">
        <x:f>477</x:f>
        <x:v>477</x:v>
      </x:c>
      <x:c r="C482" s="41" t="n">
        <x:f>ROUNDUP(B482/12,0)</x:f>
        <x:v>40</x:v>
      </x:c>
      <x:c r="D482" s="16" t="n">
        <x:f>H481</x:f>
        <x:v>0</x:v>
      </x:c>
      <x:c r="E482" s="32" t="n">
        <x:f>IF(B482&gt;'Analysis'!$C$13*12,0,'Analysis'!$G$22)</x:f>
        <x:v>0</x:v>
      </x:c>
      <x:c r="F482" s="32" t="n">
        <x:f>MAX(0,E482-G482)</x:f>
        <x:v>0</x:v>
      </x:c>
      <x:c r="G482" s="16" t="n">
        <x:f>IF(OR('Analysis'!$G$21=0,B482&gt;'Analysis'!$C$13*12),0,IF('Analysis'!$C$12=0,'Analysis'!$G$21/('Analysis'!$C$13*12),'Analysis'!$G$21*(1+'Analysis'!$C$12/12)^-('Analysis'!$C$13*12-B482)*(1-(1+'Analysis'!$C$12/12)^-1)/(1-(1+'Analysis'!$C$12/12)^-('Analysis'!$C$13*12))))</x:f>
        <x:v>0</x:v>
      </x:c>
      <x:c r="H482" s="16" t="n">
        <x:f>IF(B482&gt;='Analysis'!$C$13*12,0,MAX(0,D482-G482))</x:f>
        <x:v>0</x:v>
      </x:c>
    </x:row>
    <x:row r="483" ht="22" customHeight="1">
      <x:c r="A483" s="2"/>
      <x:c r="B483" s="41" t="n">
        <x:f>478</x:f>
        <x:v>478</x:v>
      </x:c>
      <x:c r="C483" s="41" t="n">
        <x:f>ROUNDUP(B483/12,0)</x:f>
        <x:v>40</x:v>
      </x:c>
      <x:c r="D483" s="16" t="n">
        <x:f>H482</x:f>
        <x:v>0</x:v>
      </x:c>
      <x:c r="E483" s="32" t="n">
        <x:f>IF(B483&gt;'Analysis'!$C$13*12,0,'Analysis'!$G$22)</x:f>
        <x:v>0</x:v>
      </x:c>
      <x:c r="F483" s="32" t="n">
        <x:f>MAX(0,E483-G483)</x:f>
        <x:v>0</x:v>
      </x:c>
      <x:c r="G483" s="16" t="n">
        <x:f>IF(OR('Analysis'!$G$21=0,B483&gt;'Analysis'!$C$13*12),0,IF('Analysis'!$C$12=0,'Analysis'!$G$21/('Analysis'!$C$13*12),'Analysis'!$G$21*(1+'Analysis'!$C$12/12)^-('Analysis'!$C$13*12-B483)*(1-(1+'Analysis'!$C$12/12)^-1)/(1-(1+'Analysis'!$C$12/12)^-('Analysis'!$C$13*12))))</x:f>
        <x:v>0</x:v>
      </x:c>
      <x:c r="H483" s="16" t="n">
        <x:f>IF(B483&gt;='Analysis'!$C$13*12,0,MAX(0,D483-G483))</x:f>
        <x:v>0</x:v>
      </x:c>
    </x:row>
    <x:row r="484" ht="22" customHeight="1">
      <x:c r="A484" s="2"/>
      <x:c r="B484" s="41" t="n">
        <x:f>479</x:f>
        <x:v>479</x:v>
      </x:c>
      <x:c r="C484" s="41" t="n">
        <x:f>ROUNDUP(B484/12,0)</x:f>
        <x:v>40</x:v>
      </x:c>
      <x:c r="D484" s="16" t="n">
        <x:f>H483</x:f>
        <x:v>0</x:v>
      </x:c>
      <x:c r="E484" s="32" t="n">
        <x:f>IF(B484&gt;'Analysis'!$C$13*12,0,'Analysis'!$G$22)</x:f>
        <x:v>0</x:v>
      </x:c>
      <x:c r="F484" s="32" t="n">
        <x:f>MAX(0,E484-G484)</x:f>
        <x:v>0</x:v>
      </x:c>
      <x:c r="G484" s="16" t="n">
        <x:f>IF(OR('Analysis'!$G$21=0,B484&gt;'Analysis'!$C$13*12),0,IF('Analysis'!$C$12=0,'Analysis'!$G$21/('Analysis'!$C$13*12),'Analysis'!$G$21*(1+'Analysis'!$C$12/12)^-('Analysis'!$C$13*12-B484)*(1-(1+'Analysis'!$C$12/12)^-1)/(1-(1+'Analysis'!$C$12/12)^-('Analysis'!$C$13*12))))</x:f>
        <x:v>0</x:v>
      </x:c>
      <x:c r="H484" s="16" t="n">
        <x:f>IF(B484&gt;='Analysis'!$C$13*12,0,MAX(0,D484-G484))</x:f>
        <x:v>0</x:v>
      </x:c>
    </x:row>
    <x:row r="485" ht="22" customHeight="1">
      <x:c r="A485" s="2"/>
      <x:c r="B485" s="41" t="n">
        <x:f>480</x:f>
        <x:v>480</x:v>
      </x:c>
      <x:c r="C485" s="41" t="n">
        <x:f>ROUNDUP(B485/12,0)</x:f>
        <x:v>40</x:v>
      </x:c>
      <x:c r="D485" s="16" t="n">
        <x:f>H484</x:f>
        <x:v>0</x:v>
      </x:c>
      <x:c r="E485" s="32" t="n">
        <x:f>IF(B485&gt;'Analysis'!$C$13*12,0,'Analysis'!$G$22)</x:f>
        <x:v>0</x:v>
      </x:c>
      <x:c r="F485" s="32" t="n">
        <x:f>MAX(0,E485-G485)</x:f>
        <x:v>0</x:v>
      </x:c>
      <x:c r="G485" s="16" t="n">
        <x:f>IF(OR('Analysis'!$G$21=0,B485&gt;'Analysis'!$C$13*12),0,IF('Analysis'!$C$12=0,'Analysis'!$G$21/('Analysis'!$C$13*12),'Analysis'!$G$21*(1+'Analysis'!$C$12/12)^-('Analysis'!$C$13*12-B485)*(1-(1+'Analysis'!$C$12/12)^-1)/(1-(1+'Analysis'!$C$12/12)^-('Analysis'!$C$13*12))))</x:f>
        <x:v>0</x:v>
      </x:c>
      <x:c r="H485" s="16" t="n">
        <x:f>IF(B485&gt;='Analysis'!$C$13*12,0,MAX(0,D485-G485))</x:f>
        <x:v>0</x:v>
      </x:c>
    </x:row>
    <x:row r="486" ht="22" customHeight="1">
      <x:c r="A486" s="2"/>
      <x:c r="B486" s="41" t="n">
        <x:f>481</x:f>
        <x:v>481</x:v>
      </x:c>
      <x:c r="C486" s="41" t="n">
        <x:f>ROUNDUP(B486/12,0)</x:f>
        <x:v>41</x:v>
      </x:c>
      <x:c r="D486" s="16" t="n">
        <x:f>H485</x:f>
        <x:v>0</x:v>
      </x:c>
      <x:c r="E486" s="32" t="n">
        <x:f>IF(B486&gt;'Analysis'!$C$13*12,0,'Analysis'!$G$22)</x:f>
        <x:v>0</x:v>
      </x:c>
      <x:c r="F486" s="32" t="n">
        <x:f>MAX(0,E486-G486)</x:f>
        <x:v>0</x:v>
      </x:c>
      <x:c r="G486" s="16" t="n">
        <x:f>IF(OR('Analysis'!$G$21=0,B486&gt;'Analysis'!$C$13*12),0,IF('Analysis'!$C$12=0,'Analysis'!$G$21/('Analysis'!$C$13*12),'Analysis'!$G$21*(1+'Analysis'!$C$12/12)^-('Analysis'!$C$13*12-B486)*(1-(1+'Analysis'!$C$12/12)^-1)/(1-(1+'Analysis'!$C$12/12)^-('Analysis'!$C$13*12))))</x:f>
        <x:v>0</x:v>
      </x:c>
      <x:c r="H486" s="16" t="n">
        <x:f>IF(B486&gt;='Analysis'!$C$13*12,0,MAX(0,D486-G486))</x:f>
        <x:v>0</x:v>
      </x:c>
    </x:row>
    <x:row r="487" ht="22" customHeight="1">
      <x:c r="A487" s="2"/>
      <x:c r="B487" s="41" t="n">
        <x:f>482</x:f>
        <x:v>482</x:v>
      </x:c>
      <x:c r="C487" s="41" t="n">
        <x:f>ROUNDUP(B487/12,0)</x:f>
        <x:v>41</x:v>
      </x:c>
      <x:c r="D487" s="16" t="n">
        <x:f>H486</x:f>
        <x:v>0</x:v>
      </x:c>
      <x:c r="E487" s="32" t="n">
        <x:f>IF(B487&gt;'Analysis'!$C$13*12,0,'Analysis'!$G$22)</x:f>
        <x:v>0</x:v>
      </x:c>
      <x:c r="F487" s="32" t="n">
        <x:f>MAX(0,E487-G487)</x:f>
        <x:v>0</x:v>
      </x:c>
      <x:c r="G487" s="16" t="n">
        <x:f>IF(OR('Analysis'!$G$21=0,B487&gt;'Analysis'!$C$13*12),0,IF('Analysis'!$C$12=0,'Analysis'!$G$21/('Analysis'!$C$13*12),'Analysis'!$G$21*(1+'Analysis'!$C$12/12)^-('Analysis'!$C$13*12-B487)*(1-(1+'Analysis'!$C$12/12)^-1)/(1-(1+'Analysis'!$C$12/12)^-('Analysis'!$C$13*12))))</x:f>
        <x:v>0</x:v>
      </x:c>
      <x:c r="H487" s="16" t="n">
        <x:f>IF(B487&gt;='Analysis'!$C$13*12,0,MAX(0,D487-G487))</x:f>
        <x:v>0</x:v>
      </x:c>
    </x:row>
    <x:row r="488" ht="22" customHeight="1">
      <x:c r="A488" s="2"/>
      <x:c r="B488" s="41" t="n">
        <x:f>483</x:f>
        <x:v>483</x:v>
      </x:c>
      <x:c r="C488" s="41" t="n">
        <x:f>ROUNDUP(B488/12,0)</x:f>
        <x:v>41</x:v>
      </x:c>
      <x:c r="D488" s="16" t="n">
        <x:f>H487</x:f>
        <x:v>0</x:v>
      </x:c>
      <x:c r="E488" s="32" t="n">
        <x:f>IF(B488&gt;'Analysis'!$C$13*12,0,'Analysis'!$G$22)</x:f>
        <x:v>0</x:v>
      </x:c>
      <x:c r="F488" s="32" t="n">
        <x:f>MAX(0,E488-G488)</x:f>
        <x:v>0</x:v>
      </x:c>
      <x:c r="G488" s="16" t="n">
        <x:f>IF(OR('Analysis'!$G$21=0,B488&gt;'Analysis'!$C$13*12),0,IF('Analysis'!$C$12=0,'Analysis'!$G$21/('Analysis'!$C$13*12),'Analysis'!$G$21*(1+'Analysis'!$C$12/12)^-('Analysis'!$C$13*12-B488)*(1-(1+'Analysis'!$C$12/12)^-1)/(1-(1+'Analysis'!$C$12/12)^-('Analysis'!$C$13*12))))</x:f>
        <x:v>0</x:v>
      </x:c>
      <x:c r="H488" s="16" t="n">
        <x:f>IF(B488&gt;='Analysis'!$C$13*12,0,MAX(0,D488-G488))</x:f>
        <x:v>0</x:v>
      </x:c>
    </x:row>
    <x:row r="489" ht="22" customHeight="1">
      <x:c r="A489" s="2"/>
      <x:c r="B489" s="41" t="n">
        <x:f>484</x:f>
        <x:v>484</x:v>
      </x:c>
      <x:c r="C489" s="41" t="n">
        <x:f>ROUNDUP(B489/12,0)</x:f>
        <x:v>41</x:v>
      </x:c>
      <x:c r="D489" s="16" t="n">
        <x:f>H488</x:f>
        <x:v>0</x:v>
      </x:c>
      <x:c r="E489" s="32" t="n">
        <x:f>IF(B489&gt;'Analysis'!$C$13*12,0,'Analysis'!$G$22)</x:f>
        <x:v>0</x:v>
      </x:c>
      <x:c r="F489" s="32" t="n">
        <x:f>MAX(0,E489-G489)</x:f>
        <x:v>0</x:v>
      </x:c>
      <x:c r="G489" s="16" t="n">
        <x:f>IF(OR('Analysis'!$G$21=0,B489&gt;'Analysis'!$C$13*12),0,IF('Analysis'!$C$12=0,'Analysis'!$G$21/('Analysis'!$C$13*12),'Analysis'!$G$21*(1+'Analysis'!$C$12/12)^-('Analysis'!$C$13*12-B489)*(1-(1+'Analysis'!$C$12/12)^-1)/(1-(1+'Analysis'!$C$12/12)^-('Analysis'!$C$13*12))))</x:f>
        <x:v>0</x:v>
      </x:c>
      <x:c r="H489" s="16" t="n">
        <x:f>IF(B489&gt;='Analysis'!$C$13*12,0,MAX(0,D489-G489))</x:f>
        <x:v>0</x:v>
      </x:c>
    </x:row>
    <x:row r="490" ht="22" customHeight="1">
      <x:c r="A490" s="2"/>
      <x:c r="B490" s="41" t="n">
        <x:f>485</x:f>
        <x:v>485</x:v>
      </x:c>
      <x:c r="C490" s="41" t="n">
        <x:f>ROUNDUP(B490/12,0)</x:f>
        <x:v>41</x:v>
      </x:c>
      <x:c r="D490" s="16" t="n">
        <x:f>H489</x:f>
        <x:v>0</x:v>
      </x:c>
      <x:c r="E490" s="32" t="n">
        <x:f>IF(B490&gt;'Analysis'!$C$13*12,0,'Analysis'!$G$22)</x:f>
        <x:v>0</x:v>
      </x:c>
      <x:c r="F490" s="32" t="n">
        <x:f>MAX(0,E490-G490)</x:f>
        <x:v>0</x:v>
      </x:c>
      <x:c r="G490" s="16" t="n">
        <x:f>IF(OR('Analysis'!$G$21=0,B490&gt;'Analysis'!$C$13*12),0,IF('Analysis'!$C$12=0,'Analysis'!$G$21/('Analysis'!$C$13*12),'Analysis'!$G$21*(1+'Analysis'!$C$12/12)^-('Analysis'!$C$13*12-B490)*(1-(1+'Analysis'!$C$12/12)^-1)/(1-(1+'Analysis'!$C$12/12)^-('Analysis'!$C$13*12))))</x:f>
        <x:v>0</x:v>
      </x:c>
      <x:c r="H490" s="16" t="n">
        <x:f>IF(B490&gt;='Analysis'!$C$13*12,0,MAX(0,D490-G490))</x:f>
        <x:v>0</x:v>
      </x:c>
    </x:row>
    <x:row r="491" ht="22" customHeight="1">
      <x:c r="A491" s="2"/>
      <x:c r="B491" s="41" t="n">
        <x:f>486</x:f>
        <x:v>486</x:v>
      </x:c>
      <x:c r="C491" s="41" t="n">
        <x:f>ROUNDUP(B491/12,0)</x:f>
        <x:v>41</x:v>
      </x:c>
      <x:c r="D491" s="16" t="n">
        <x:f>H490</x:f>
        <x:v>0</x:v>
      </x:c>
      <x:c r="E491" s="32" t="n">
        <x:f>IF(B491&gt;'Analysis'!$C$13*12,0,'Analysis'!$G$22)</x:f>
        <x:v>0</x:v>
      </x:c>
      <x:c r="F491" s="32" t="n">
        <x:f>MAX(0,E491-G491)</x:f>
        <x:v>0</x:v>
      </x:c>
      <x:c r="G491" s="16" t="n">
        <x:f>IF(OR('Analysis'!$G$21=0,B491&gt;'Analysis'!$C$13*12),0,IF('Analysis'!$C$12=0,'Analysis'!$G$21/('Analysis'!$C$13*12),'Analysis'!$G$21*(1+'Analysis'!$C$12/12)^-('Analysis'!$C$13*12-B491)*(1-(1+'Analysis'!$C$12/12)^-1)/(1-(1+'Analysis'!$C$12/12)^-('Analysis'!$C$13*12))))</x:f>
        <x:v>0</x:v>
      </x:c>
      <x:c r="H491" s="16" t="n">
        <x:f>IF(B491&gt;='Analysis'!$C$13*12,0,MAX(0,D491-G491))</x:f>
        <x:v>0</x:v>
      </x:c>
    </x:row>
    <x:row r="492" ht="22" customHeight="1">
      <x:c r="A492" s="2"/>
      <x:c r="B492" s="41" t="n">
        <x:f>487</x:f>
        <x:v>487</x:v>
      </x:c>
      <x:c r="C492" s="41" t="n">
        <x:f>ROUNDUP(B492/12,0)</x:f>
        <x:v>41</x:v>
      </x:c>
      <x:c r="D492" s="16" t="n">
        <x:f>H491</x:f>
        <x:v>0</x:v>
      </x:c>
      <x:c r="E492" s="32" t="n">
        <x:f>IF(B492&gt;'Analysis'!$C$13*12,0,'Analysis'!$G$22)</x:f>
        <x:v>0</x:v>
      </x:c>
      <x:c r="F492" s="32" t="n">
        <x:f>MAX(0,E492-G492)</x:f>
        <x:v>0</x:v>
      </x:c>
      <x:c r="G492" s="16" t="n">
        <x:f>IF(OR('Analysis'!$G$21=0,B492&gt;'Analysis'!$C$13*12),0,IF('Analysis'!$C$12=0,'Analysis'!$G$21/('Analysis'!$C$13*12),'Analysis'!$G$21*(1+'Analysis'!$C$12/12)^-('Analysis'!$C$13*12-B492)*(1-(1+'Analysis'!$C$12/12)^-1)/(1-(1+'Analysis'!$C$12/12)^-('Analysis'!$C$13*12))))</x:f>
        <x:v>0</x:v>
      </x:c>
      <x:c r="H492" s="16" t="n">
        <x:f>IF(B492&gt;='Analysis'!$C$13*12,0,MAX(0,D492-G492))</x:f>
        <x:v>0</x:v>
      </x:c>
    </x:row>
    <x:row r="493" ht="22" customHeight="1">
      <x:c r="A493" s="2"/>
      <x:c r="B493" s="41" t="n">
        <x:f>488</x:f>
        <x:v>488</x:v>
      </x:c>
      <x:c r="C493" s="41" t="n">
        <x:f>ROUNDUP(B493/12,0)</x:f>
        <x:v>41</x:v>
      </x:c>
      <x:c r="D493" s="16" t="n">
        <x:f>H492</x:f>
        <x:v>0</x:v>
      </x:c>
      <x:c r="E493" s="32" t="n">
        <x:f>IF(B493&gt;'Analysis'!$C$13*12,0,'Analysis'!$G$22)</x:f>
        <x:v>0</x:v>
      </x:c>
      <x:c r="F493" s="32" t="n">
        <x:f>MAX(0,E493-G493)</x:f>
        <x:v>0</x:v>
      </x:c>
      <x:c r="G493" s="16" t="n">
        <x:f>IF(OR('Analysis'!$G$21=0,B493&gt;'Analysis'!$C$13*12),0,IF('Analysis'!$C$12=0,'Analysis'!$G$21/('Analysis'!$C$13*12),'Analysis'!$G$21*(1+'Analysis'!$C$12/12)^-('Analysis'!$C$13*12-B493)*(1-(1+'Analysis'!$C$12/12)^-1)/(1-(1+'Analysis'!$C$12/12)^-('Analysis'!$C$13*12))))</x:f>
        <x:v>0</x:v>
      </x:c>
      <x:c r="H493" s="16" t="n">
        <x:f>IF(B493&gt;='Analysis'!$C$13*12,0,MAX(0,D493-G493))</x:f>
        <x:v>0</x:v>
      </x:c>
    </x:row>
    <x:row r="494" ht="22" customHeight="1">
      <x:c r="A494" s="2"/>
      <x:c r="B494" s="41" t="n">
        <x:f>489</x:f>
        <x:v>489</x:v>
      </x:c>
      <x:c r="C494" s="41" t="n">
        <x:f>ROUNDUP(B494/12,0)</x:f>
        <x:v>41</x:v>
      </x:c>
      <x:c r="D494" s="16" t="n">
        <x:f>H493</x:f>
        <x:v>0</x:v>
      </x:c>
      <x:c r="E494" s="32" t="n">
        <x:f>IF(B494&gt;'Analysis'!$C$13*12,0,'Analysis'!$G$22)</x:f>
        <x:v>0</x:v>
      </x:c>
      <x:c r="F494" s="32" t="n">
        <x:f>MAX(0,E494-G494)</x:f>
        <x:v>0</x:v>
      </x:c>
      <x:c r="G494" s="16" t="n">
        <x:f>IF(OR('Analysis'!$G$21=0,B494&gt;'Analysis'!$C$13*12),0,IF('Analysis'!$C$12=0,'Analysis'!$G$21/('Analysis'!$C$13*12),'Analysis'!$G$21*(1+'Analysis'!$C$12/12)^-('Analysis'!$C$13*12-B494)*(1-(1+'Analysis'!$C$12/12)^-1)/(1-(1+'Analysis'!$C$12/12)^-('Analysis'!$C$13*12))))</x:f>
        <x:v>0</x:v>
      </x:c>
      <x:c r="H494" s="16" t="n">
        <x:f>IF(B494&gt;='Analysis'!$C$13*12,0,MAX(0,D494-G494))</x:f>
        <x:v>0</x:v>
      </x:c>
    </x:row>
    <x:row r="495" ht="22" customHeight="1">
      <x:c r="A495" s="2"/>
      <x:c r="B495" s="41" t="n">
        <x:f>490</x:f>
        <x:v>490</x:v>
      </x:c>
      <x:c r="C495" s="41" t="n">
        <x:f>ROUNDUP(B495/12,0)</x:f>
        <x:v>41</x:v>
      </x:c>
      <x:c r="D495" s="16" t="n">
        <x:f>H494</x:f>
        <x:v>0</x:v>
      </x:c>
      <x:c r="E495" s="32" t="n">
        <x:f>IF(B495&gt;'Analysis'!$C$13*12,0,'Analysis'!$G$22)</x:f>
        <x:v>0</x:v>
      </x:c>
      <x:c r="F495" s="32" t="n">
        <x:f>MAX(0,E495-G495)</x:f>
        <x:v>0</x:v>
      </x:c>
      <x:c r="G495" s="16" t="n">
        <x:f>IF(OR('Analysis'!$G$21=0,B495&gt;'Analysis'!$C$13*12),0,IF('Analysis'!$C$12=0,'Analysis'!$G$21/('Analysis'!$C$13*12),'Analysis'!$G$21*(1+'Analysis'!$C$12/12)^-('Analysis'!$C$13*12-B495)*(1-(1+'Analysis'!$C$12/12)^-1)/(1-(1+'Analysis'!$C$12/12)^-('Analysis'!$C$13*12))))</x:f>
        <x:v>0</x:v>
      </x:c>
      <x:c r="H495" s="16" t="n">
        <x:f>IF(B495&gt;='Analysis'!$C$13*12,0,MAX(0,D495-G495))</x:f>
        <x:v>0</x:v>
      </x:c>
    </x:row>
    <x:row r="496" ht="22" customHeight="1">
      <x:c r="A496" s="2"/>
      <x:c r="B496" s="41" t="n">
        <x:f>491</x:f>
        <x:v>491</x:v>
      </x:c>
      <x:c r="C496" s="41" t="n">
        <x:f>ROUNDUP(B496/12,0)</x:f>
        <x:v>41</x:v>
      </x:c>
      <x:c r="D496" s="16" t="n">
        <x:f>H495</x:f>
        <x:v>0</x:v>
      </x:c>
      <x:c r="E496" s="32" t="n">
        <x:f>IF(B496&gt;'Analysis'!$C$13*12,0,'Analysis'!$G$22)</x:f>
        <x:v>0</x:v>
      </x:c>
      <x:c r="F496" s="32" t="n">
        <x:f>MAX(0,E496-G496)</x:f>
        <x:v>0</x:v>
      </x:c>
      <x:c r="G496" s="16" t="n">
        <x:f>IF(OR('Analysis'!$G$21=0,B496&gt;'Analysis'!$C$13*12),0,IF('Analysis'!$C$12=0,'Analysis'!$G$21/('Analysis'!$C$13*12),'Analysis'!$G$21*(1+'Analysis'!$C$12/12)^-('Analysis'!$C$13*12-B496)*(1-(1+'Analysis'!$C$12/12)^-1)/(1-(1+'Analysis'!$C$12/12)^-('Analysis'!$C$13*12))))</x:f>
        <x:v>0</x:v>
      </x:c>
      <x:c r="H496" s="16" t="n">
        <x:f>IF(B496&gt;='Analysis'!$C$13*12,0,MAX(0,D496-G496))</x:f>
        <x:v>0</x:v>
      </x:c>
    </x:row>
    <x:row r="497" ht="22" customHeight="1">
      <x:c r="A497" s="2"/>
      <x:c r="B497" s="41" t="n">
        <x:f>492</x:f>
        <x:v>492</x:v>
      </x:c>
      <x:c r="C497" s="41" t="n">
        <x:f>ROUNDUP(B497/12,0)</x:f>
        <x:v>41</x:v>
      </x:c>
      <x:c r="D497" s="16" t="n">
        <x:f>H496</x:f>
        <x:v>0</x:v>
      </x:c>
      <x:c r="E497" s="32" t="n">
        <x:f>IF(B497&gt;'Analysis'!$C$13*12,0,'Analysis'!$G$22)</x:f>
        <x:v>0</x:v>
      </x:c>
      <x:c r="F497" s="32" t="n">
        <x:f>MAX(0,E497-G497)</x:f>
        <x:v>0</x:v>
      </x:c>
      <x:c r="G497" s="16" t="n">
        <x:f>IF(OR('Analysis'!$G$21=0,B497&gt;'Analysis'!$C$13*12),0,IF('Analysis'!$C$12=0,'Analysis'!$G$21/('Analysis'!$C$13*12),'Analysis'!$G$21*(1+'Analysis'!$C$12/12)^-('Analysis'!$C$13*12-B497)*(1-(1+'Analysis'!$C$12/12)^-1)/(1-(1+'Analysis'!$C$12/12)^-('Analysis'!$C$13*12))))</x:f>
        <x:v>0</x:v>
      </x:c>
      <x:c r="H497" s="16" t="n">
        <x:f>IF(B497&gt;='Analysis'!$C$13*12,0,MAX(0,D497-G497))</x:f>
        <x:v>0</x:v>
      </x:c>
    </x:row>
    <x:row r="498" ht="22" customHeight="1">
      <x:c r="A498" s="2"/>
      <x:c r="B498" s="41" t="n">
        <x:f>493</x:f>
        <x:v>493</x:v>
      </x:c>
      <x:c r="C498" s="41" t="n">
        <x:f>ROUNDUP(B498/12,0)</x:f>
        <x:v>42</x:v>
      </x:c>
      <x:c r="D498" s="16" t="n">
        <x:f>H497</x:f>
        <x:v>0</x:v>
      </x:c>
      <x:c r="E498" s="32" t="n">
        <x:f>IF(B498&gt;'Analysis'!$C$13*12,0,'Analysis'!$G$22)</x:f>
        <x:v>0</x:v>
      </x:c>
      <x:c r="F498" s="32" t="n">
        <x:f>MAX(0,E498-G498)</x:f>
        <x:v>0</x:v>
      </x:c>
      <x:c r="G498" s="16" t="n">
        <x:f>IF(OR('Analysis'!$G$21=0,B498&gt;'Analysis'!$C$13*12),0,IF('Analysis'!$C$12=0,'Analysis'!$G$21/('Analysis'!$C$13*12),'Analysis'!$G$21*(1+'Analysis'!$C$12/12)^-('Analysis'!$C$13*12-B498)*(1-(1+'Analysis'!$C$12/12)^-1)/(1-(1+'Analysis'!$C$12/12)^-('Analysis'!$C$13*12))))</x:f>
        <x:v>0</x:v>
      </x:c>
      <x:c r="H498" s="16" t="n">
        <x:f>IF(B498&gt;='Analysis'!$C$13*12,0,MAX(0,D498-G498))</x:f>
        <x:v>0</x:v>
      </x:c>
    </x:row>
    <x:row r="499" ht="22" customHeight="1">
      <x:c r="A499" s="2"/>
      <x:c r="B499" s="41" t="n">
        <x:f>494</x:f>
        <x:v>494</x:v>
      </x:c>
      <x:c r="C499" s="41" t="n">
        <x:f>ROUNDUP(B499/12,0)</x:f>
        <x:v>42</x:v>
      </x:c>
      <x:c r="D499" s="16" t="n">
        <x:f>H498</x:f>
        <x:v>0</x:v>
      </x:c>
      <x:c r="E499" s="32" t="n">
        <x:f>IF(B499&gt;'Analysis'!$C$13*12,0,'Analysis'!$G$22)</x:f>
        <x:v>0</x:v>
      </x:c>
      <x:c r="F499" s="32" t="n">
        <x:f>MAX(0,E499-G499)</x:f>
        <x:v>0</x:v>
      </x:c>
      <x:c r="G499" s="16" t="n">
        <x:f>IF(OR('Analysis'!$G$21=0,B499&gt;'Analysis'!$C$13*12),0,IF('Analysis'!$C$12=0,'Analysis'!$G$21/('Analysis'!$C$13*12),'Analysis'!$G$21*(1+'Analysis'!$C$12/12)^-('Analysis'!$C$13*12-B499)*(1-(1+'Analysis'!$C$12/12)^-1)/(1-(1+'Analysis'!$C$12/12)^-('Analysis'!$C$13*12))))</x:f>
        <x:v>0</x:v>
      </x:c>
      <x:c r="H499" s="16" t="n">
        <x:f>IF(B499&gt;='Analysis'!$C$13*12,0,MAX(0,D499-G499))</x:f>
        <x:v>0</x:v>
      </x:c>
    </x:row>
    <x:row r="500" ht="22" customHeight="1">
      <x:c r="A500" s="2"/>
      <x:c r="B500" s="41" t="n">
        <x:f>495</x:f>
        <x:v>495</x:v>
      </x:c>
      <x:c r="C500" s="41" t="n">
        <x:f>ROUNDUP(B500/12,0)</x:f>
        <x:v>42</x:v>
      </x:c>
      <x:c r="D500" s="16" t="n">
        <x:f>H499</x:f>
        <x:v>0</x:v>
      </x:c>
      <x:c r="E500" s="32" t="n">
        <x:f>IF(B500&gt;'Analysis'!$C$13*12,0,'Analysis'!$G$22)</x:f>
        <x:v>0</x:v>
      </x:c>
      <x:c r="F500" s="32" t="n">
        <x:f>MAX(0,E500-G500)</x:f>
        <x:v>0</x:v>
      </x:c>
      <x:c r="G500" s="16" t="n">
        <x:f>IF(OR('Analysis'!$G$21=0,B500&gt;'Analysis'!$C$13*12),0,IF('Analysis'!$C$12=0,'Analysis'!$G$21/('Analysis'!$C$13*12),'Analysis'!$G$21*(1+'Analysis'!$C$12/12)^-('Analysis'!$C$13*12-B500)*(1-(1+'Analysis'!$C$12/12)^-1)/(1-(1+'Analysis'!$C$12/12)^-('Analysis'!$C$13*12))))</x:f>
        <x:v>0</x:v>
      </x:c>
      <x:c r="H500" s="16" t="n">
        <x:f>IF(B500&gt;='Analysis'!$C$13*12,0,MAX(0,D500-G500))</x:f>
        <x:v>0</x:v>
      </x:c>
    </x:row>
    <x:row r="501" ht="22" customHeight="1">
      <x:c r="A501" s="2"/>
      <x:c r="B501" s="41" t="n">
        <x:f>496</x:f>
        <x:v>496</x:v>
      </x:c>
      <x:c r="C501" s="41" t="n">
        <x:f>ROUNDUP(B501/12,0)</x:f>
        <x:v>42</x:v>
      </x:c>
      <x:c r="D501" s="16" t="n">
        <x:f>H500</x:f>
        <x:v>0</x:v>
      </x:c>
      <x:c r="E501" s="32" t="n">
        <x:f>IF(B501&gt;'Analysis'!$C$13*12,0,'Analysis'!$G$22)</x:f>
        <x:v>0</x:v>
      </x:c>
      <x:c r="F501" s="32" t="n">
        <x:f>MAX(0,E501-G501)</x:f>
        <x:v>0</x:v>
      </x:c>
      <x:c r="G501" s="16" t="n">
        <x:f>IF(OR('Analysis'!$G$21=0,B501&gt;'Analysis'!$C$13*12),0,IF('Analysis'!$C$12=0,'Analysis'!$G$21/('Analysis'!$C$13*12),'Analysis'!$G$21*(1+'Analysis'!$C$12/12)^-('Analysis'!$C$13*12-B501)*(1-(1+'Analysis'!$C$12/12)^-1)/(1-(1+'Analysis'!$C$12/12)^-('Analysis'!$C$13*12))))</x:f>
        <x:v>0</x:v>
      </x:c>
      <x:c r="H501" s="16" t="n">
        <x:f>IF(B501&gt;='Analysis'!$C$13*12,0,MAX(0,D501-G501))</x:f>
        <x:v>0</x:v>
      </x:c>
    </x:row>
    <x:row r="502" ht="22" customHeight="1">
      <x:c r="A502" s="2"/>
      <x:c r="B502" s="41" t="n">
        <x:f>497</x:f>
        <x:v>497</x:v>
      </x:c>
      <x:c r="C502" s="41" t="n">
        <x:f>ROUNDUP(B502/12,0)</x:f>
        <x:v>42</x:v>
      </x:c>
      <x:c r="D502" s="16" t="n">
        <x:f>H501</x:f>
        <x:v>0</x:v>
      </x:c>
      <x:c r="E502" s="32" t="n">
        <x:f>IF(B502&gt;'Analysis'!$C$13*12,0,'Analysis'!$G$22)</x:f>
        <x:v>0</x:v>
      </x:c>
      <x:c r="F502" s="32" t="n">
        <x:f>MAX(0,E502-G502)</x:f>
        <x:v>0</x:v>
      </x:c>
      <x:c r="G502" s="16" t="n">
        <x:f>IF(OR('Analysis'!$G$21=0,B502&gt;'Analysis'!$C$13*12),0,IF('Analysis'!$C$12=0,'Analysis'!$G$21/('Analysis'!$C$13*12),'Analysis'!$G$21*(1+'Analysis'!$C$12/12)^-('Analysis'!$C$13*12-B502)*(1-(1+'Analysis'!$C$12/12)^-1)/(1-(1+'Analysis'!$C$12/12)^-('Analysis'!$C$13*12))))</x:f>
        <x:v>0</x:v>
      </x:c>
      <x:c r="H502" s="16" t="n">
        <x:f>IF(B502&gt;='Analysis'!$C$13*12,0,MAX(0,D502-G502))</x:f>
        <x:v>0</x:v>
      </x:c>
    </x:row>
    <x:row r="503" ht="22" customHeight="1">
      <x:c r="A503" s="2"/>
      <x:c r="B503" s="41" t="n">
        <x:f>498</x:f>
        <x:v>498</x:v>
      </x:c>
      <x:c r="C503" s="41" t="n">
        <x:f>ROUNDUP(B503/12,0)</x:f>
        <x:v>42</x:v>
      </x:c>
      <x:c r="D503" s="16" t="n">
        <x:f>H502</x:f>
        <x:v>0</x:v>
      </x:c>
      <x:c r="E503" s="32" t="n">
        <x:f>IF(B503&gt;'Analysis'!$C$13*12,0,'Analysis'!$G$22)</x:f>
        <x:v>0</x:v>
      </x:c>
      <x:c r="F503" s="32" t="n">
        <x:f>MAX(0,E503-G503)</x:f>
        <x:v>0</x:v>
      </x:c>
      <x:c r="G503" s="16" t="n">
        <x:f>IF(OR('Analysis'!$G$21=0,B503&gt;'Analysis'!$C$13*12),0,IF('Analysis'!$C$12=0,'Analysis'!$G$21/('Analysis'!$C$13*12),'Analysis'!$G$21*(1+'Analysis'!$C$12/12)^-('Analysis'!$C$13*12-B503)*(1-(1+'Analysis'!$C$12/12)^-1)/(1-(1+'Analysis'!$C$12/12)^-('Analysis'!$C$13*12))))</x:f>
        <x:v>0</x:v>
      </x:c>
      <x:c r="H503" s="16" t="n">
        <x:f>IF(B503&gt;='Analysis'!$C$13*12,0,MAX(0,D503-G503))</x:f>
        <x:v>0</x:v>
      </x:c>
    </x:row>
    <x:row r="504" ht="22" customHeight="1">
      <x:c r="A504" s="2"/>
      <x:c r="B504" s="41" t="n">
        <x:f>499</x:f>
        <x:v>499</x:v>
      </x:c>
      <x:c r="C504" s="41" t="n">
        <x:f>ROUNDUP(B504/12,0)</x:f>
        <x:v>42</x:v>
      </x:c>
      <x:c r="D504" s="16" t="n">
        <x:f>H503</x:f>
        <x:v>0</x:v>
      </x:c>
      <x:c r="E504" s="32" t="n">
        <x:f>IF(B504&gt;'Analysis'!$C$13*12,0,'Analysis'!$G$22)</x:f>
        <x:v>0</x:v>
      </x:c>
      <x:c r="F504" s="32" t="n">
        <x:f>MAX(0,E504-G504)</x:f>
        <x:v>0</x:v>
      </x:c>
      <x:c r="G504" s="16" t="n">
        <x:f>IF(OR('Analysis'!$G$21=0,B504&gt;'Analysis'!$C$13*12),0,IF('Analysis'!$C$12=0,'Analysis'!$G$21/('Analysis'!$C$13*12),'Analysis'!$G$21*(1+'Analysis'!$C$12/12)^-('Analysis'!$C$13*12-B504)*(1-(1+'Analysis'!$C$12/12)^-1)/(1-(1+'Analysis'!$C$12/12)^-('Analysis'!$C$13*12))))</x:f>
        <x:v>0</x:v>
      </x:c>
      <x:c r="H504" s="16" t="n">
        <x:f>IF(B504&gt;='Analysis'!$C$13*12,0,MAX(0,D504-G504))</x:f>
        <x:v>0</x:v>
      </x:c>
    </x:row>
    <x:row r="505" ht="22" customHeight="1">
      <x:c r="A505" s="2"/>
      <x:c r="B505" s="41" t="n">
        <x:f>500</x:f>
        <x:v>500</x:v>
      </x:c>
      <x:c r="C505" s="41" t="n">
        <x:f>ROUNDUP(B505/12,0)</x:f>
        <x:v>42</x:v>
      </x:c>
      <x:c r="D505" s="16" t="n">
        <x:f>H504</x:f>
        <x:v>0</x:v>
      </x:c>
      <x:c r="E505" s="32" t="n">
        <x:f>IF(B505&gt;'Analysis'!$C$13*12,0,'Analysis'!$G$22)</x:f>
        <x:v>0</x:v>
      </x:c>
      <x:c r="F505" s="32" t="n">
        <x:f>MAX(0,E505-G505)</x:f>
        <x:v>0</x:v>
      </x:c>
      <x:c r="G505" s="16" t="n">
        <x:f>IF(OR('Analysis'!$G$21=0,B505&gt;'Analysis'!$C$13*12),0,IF('Analysis'!$C$12=0,'Analysis'!$G$21/('Analysis'!$C$13*12),'Analysis'!$G$21*(1+'Analysis'!$C$12/12)^-('Analysis'!$C$13*12-B505)*(1-(1+'Analysis'!$C$12/12)^-1)/(1-(1+'Analysis'!$C$12/12)^-('Analysis'!$C$13*12))))</x:f>
        <x:v>0</x:v>
      </x:c>
      <x:c r="H505" s="16" t="n">
        <x:f>IF(B505&gt;='Analysis'!$C$13*12,0,MAX(0,D505-G505))</x:f>
        <x:v>0</x:v>
      </x:c>
    </x:row>
    <x:row r="506" ht="22" customHeight="1">
      <x:c r="A506" s="2"/>
      <x:c r="B506" s="41" t="n">
        <x:f>501</x:f>
        <x:v>501</x:v>
      </x:c>
      <x:c r="C506" s="41" t="n">
        <x:f>ROUNDUP(B506/12,0)</x:f>
        <x:v>42</x:v>
      </x:c>
      <x:c r="D506" s="16" t="n">
        <x:f>H505</x:f>
        <x:v>0</x:v>
      </x:c>
      <x:c r="E506" s="32" t="n">
        <x:f>IF(B506&gt;'Analysis'!$C$13*12,0,'Analysis'!$G$22)</x:f>
        <x:v>0</x:v>
      </x:c>
      <x:c r="F506" s="32" t="n">
        <x:f>MAX(0,E506-G506)</x:f>
        <x:v>0</x:v>
      </x:c>
      <x:c r="G506" s="16" t="n">
        <x:f>IF(OR('Analysis'!$G$21=0,B506&gt;'Analysis'!$C$13*12),0,IF('Analysis'!$C$12=0,'Analysis'!$G$21/('Analysis'!$C$13*12),'Analysis'!$G$21*(1+'Analysis'!$C$12/12)^-('Analysis'!$C$13*12-B506)*(1-(1+'Analysis'!$C$12/12)^-1)/(1-(1+'Analysis'!$C$12/12)^-('Analysis'!$C$13*12))))</x:f>
        <x:v>0</x:v>
      </x:c>
      <x:c r="H506" s="16" t="n">
        <x:f>IF(B506&gt;='Analysis'!$C$13*12,0,MAX(0,D506-G506))</x:f>
        <x:v>0</x:v>
      </x:c>
    </x:row>
    <x:row r="507" ht="22" customHeight="1">
      <x:c r="A507" s="2"/>
      <x:c r="B507" s="41" t="n">
        <x:f>502</x:f>
        <x:v>502</x:v>
      </x:c>
      <x:c r="C507" s="41" t="n">
        <x:f>ROUNDUP(B507/12,0)</x:f>
        <x:v>42</x:v>
      </x:c>
      <x:c r="D507" s="16" t="n">
        <x:f>H506</x:f>
        <x:v>0</x:v>
      </x:c>
      <x:c r="E507" s="32" t="n">
        <x:f>IF(B507&gt;'Analysis'!$C$13*12,0,'Analysis'!$G$22)</x:f>
        <x:v>0</x:v>
      </x:c>
      <x:c r="F507" s="32" t="n">
        <x:f>MAX(0,E507-G507)</x:f>
        <x:v>0</x:v>
      </x:c>
      <x:c r="G507" s="16" t="n">
        <x:f>IF(OR('Analysis'!$G$21=0,B507&gt;'Analysis'!$C$13*12),0,IF('Analysis'!$C$12=0,'Analysis'!$G$21/('Analysis'!$C$13*12),'Analysis'!$G$21*(1+'Analysis'!$C$12/12)^-('Analysis'!$C$13*12-B507)*(1-(1+'Analysis'!$C$12/12)^-1)/(1-(1+'Analysis'!$C$12/12)^-('Analysis'!$C$13*12))))</x:f>
        <x:v>0</x:v>
      </x:c>
      <x:c r="H507" s="16" t="n">
        <x:f>IF(B507&gt;='Analysis'!$C$13*12,0,MAX(0,D507-G507))</x:f>
        <x:v>0</x:v>
      </x:c>
    </x:row>
    <x:row r="508" ht="22" customHeight="1">
      <x:c r="A508" s="2"/>
      <x:c r="B508" s="41" t="n">
        <x:f>503</x:f>
        <x:v>503</x:v>
      </x:c>
      <x:c r="C508" s="41" t="n">
        <x:f>ROUNDUP(B508/12,0)</x:f>
        <x:v>42</x:v>
      </x:c>
      <x:c r="D508" s="16" t="n">
        <x:f>H507</x:f>
        <x:v>0</x:v>
      </x:c>
      <x:c r="E508" s="32" t="n">
        <x:f>IF(B508&gt;'Analysis'!$C$13*12,0,'Analysis'!$G$22)</x:f>
        <x:v>0</x:v>
      </x:c>
      <x:c r="F508" s="32" t="n">
        <x:f>MAX(0,E508-G508)</x:f>
        <x:v>0</x:v>
      </x:c>
      <x:c r="G508" s="16" t="n">
        <x:f>IF(OR('Analysis'!$G$21=0,B508&gt;'Analysis'!$C$13*12),0,IF('Analysis'!$C$12=0,'Analysis'!$G$21/('Analysis'!$C$13*12),'Analysis'!$G$21*(1+'Analysis'!$C$12/12)^-('Analysis'!$C$13*12-B508)*(1-(1+'Analysis'!$C$12/12)^-1)/(1-(1+'Analysis'!$C$12/12)^-('Analysis'!$C$13*12))))</x:f>
        <x:v>0</x:v>
      </x:c>
      <x:c r="H508" s="16" t="n">
        <x:f>IF(B508&gt;='Analysis'!$C$13*12,0,MAX(0,D508-G508))</x:f>
        <x:v>0</x:v>
      </x:c>
    </x:row>
    <x:row r="509" ht="22" customHeight="1">
      <x:c r="A509" s="2"/>
      <x:c r="B509" s="41" t="n">
        <x:f>504</x:f>
        <x:v>504</x:v>
      </x:c>
      <x:c r="C509" s="41" t="n">
        <x:f>ROUNDUP(B509/12,0)</x:f>
        <x:v>42</x:v>
      </x:c>
      <x:c r="D509" s="16" t="n">
        <x:f>H508</x:f>
        <x:v>0</x:v>
      </x:c>
      <x:c r="E509" s="32" t="n">
        <x:f>IF(B509&gt;'Analysis'!$C$13*12,0,'Analysis'!$G$22)</x:f>
        <x:v>0</x:v>
      </x:c>
      <x:c r="F509" s="32" t="n">
        <x:f>MAX(0,E509-G509)</x:f>
        <x:v>0</x:v>
      </x:c>
      <x:c r="G509" s="16" t="n">
        <x:f>IF(OR('Analysis'!$G$21=0,B509&gt;'Analysis'!$C$13*12),0,IF('Analysis'!$C$12=0,'Analysis'!$G$21/('Analysis'!$C$13*12),'Analysis'!$G$21*(1+'Analysis'!$C$12/12)^-('Analysis'!$C$13*12-B509)*(1-(1+'Analysis'!$C$12/12)^-1)/(1-(1+'Analysis'!$C$12/12)^-('Analysis'!$C$13*12))))</x:f>
        <x:v>0</x:v>
      </x:c>
      <x:c r="H509" s="16" t="n">
        <x:f>IF(B509&gt;='Analysis'!$C$13*12,0,MAX(0,D509-G509))</x:f>
        <x:v>0</x:v>
      </x:c>
    </x:row>
    <x:row r="510" ht="22" customHeight="1">
      <x:c r="A510" s="2"/>
      <x:c r="B510" s="41" t="n">
        <x:f>505</x:f>
        <x:v>505</x:v>
      </x:c>
      <x:c r="C510" s="41" t="n">
        <x:f>ROUNDUP(B510/12,0)</x:f>
        <x:v>43</x:v>
      </x:c>
      <x:c r="D510" s="16" t="n">
        <x:f>H509</x:f>
        <x:v>0</x:v>
      </x:c>
      <x:c r="E510" s="32" t="n">
        <x:f>IF(B510&gt;'Analysis'!$C$13*12,0,'Analysis'!$G$22)</x:f>
        <x:v>0</x:v>
      </x:c>
      <x:c r="F510" s="32" t="n">
        <x:f>MAX(0,E510-G510)</x:f>
        <x:v>0</x:v>
      </x:c>
      <x:c r="G510" s="16" t="n">
        <x:f>IF(OR('Analysis'!$G$21=0,B510&gt;'Analysis'!$C$13*12),0,IF('Analysis'!$C$12=0,'Analysis'!$G$21/('Analysis'!$C$13*12),'Analysis'!$G$21*(1+'Analysis'!$C$12/12)^-('Analysis'!$C$13*12-B510)*(1-(1+'Analysis'!$C$12/12)^-1)/(1-(1+'Analysis'!$C$12/12)^-('Analysis'!$C$13*12))))</x:f>
        <x:v>0</x:v>
      </x:c>
      <x:c r="H510" s="16" t="n">
        <x:f>IF(B510&gt;='Analysis'!$C$13*12,0,MAX(0,D510-G510))</x:f>
        <x:v>0</x:v>
      </x:c>
    </x:row>
    <x:row r="511" ht="22" customHeight="1">
      <x:c r="A511" s="2"/>
      <x:c r="B511" s="41" t="n">
        <x:f>506</x:f>
        <x:v>506</x:v>
      </x:c>
      <x:c r="C511" s="41" t="n">
        <x:f>ROUNDUP(B511/12,0)</x:f>
        <x:v>43</x:v>
      </x:c>
      <x:c r="D511" s="16" t="n">
        <x:f>H510</x:f>
        <x:v>0</x:v>
      </x:c>
      <x:c r="E511" s="32" t="n">
        <x:f>IF(B511&gt;'Analysis'!$C$13*12,0,'Analysis'!$G$22)</x:f>
        <x:v>0</x:v>
      </x:c>
      <x:c r="F511" s="32" t="n">
        <x:f>MAX(0,E511-G511)</x:f>
        <x:v>0</x:v>
      </x:c>
      <x:c r="G511" s="16" t="n">
        <x:f>IF(OR('Analysis'!$G$21=0,B511&gt;'Analysis'!$C$13*12),0,IF('Analysis'!$C$12=0,'Analysis'!$G$21/('Analysis'!$C$13*12),'Analysis'!$G$21*(1+'Analysis'!$C$12/12)^-('Analysis'!$C$13*12-B511)*(1-(1+'Analysis'!$C$12/12)^-1)/(1-(1+'Analysis'!$C$12/12)^-('Analysis'!$C$13*12))))</x:f>
        <x:v>0</x:v>
      </x:c>
      <x:c r="H511" s="16" t="n">
        <x:f>IF(B511&gt;='Analysis'!$C$13*12,0,MAX(0,D511-G511))</x:f>
        <x:v>0</x:v>
      </x:c>
    </x:row>
    <x:row r="512" ht="22" customHeight="1">
      <x:c r="A512" s="2"/>
      <x:c r="B512" s="41" t="n">
        <x:f>507</x:f>
        <x:v>507</x:v>
      </x:c>
      <x:c r="C512" s="41" t="n">
        <x:f>ROUNDUP(B512/12,0)</x:f>
        <x:v>43</x:v>
      </x:c>
      <x:c r="D512" s="16" t="n">
        <x:f>H511</x:f>
        <x:v>0</x:v>
      </x:c>
      <x:c r="E512" s="32" t="n">
        <x:f>IF(B512&gt;'Analysis'!$C$13*12,0,'Analysis'!$G$22)</x:f>
        <x:v>0</x:v>
      </x:c>
      <x:c r="F512" s="32" t="n">
        <x:f>MAX(0,E512-G512)</x:f>
        <x:v>0</x:v>
      </x:c>
      <x:c r="G512" s="16" t="n">
        <x:f>IF(OR('Analysis'!$G$21=0,B512&gt;'Analysis'!$C$13*12),0,IF('Analysis'!$C$12=0,'Analysis'!$G$21/('Analysis'!$C$13*12),'Analysis'!$G$21*(1+'Analysis'!$C$12/12)^-('Analysis'!$C$13*12-B512)*(1-(1+'Analysis'!$C$12/12)^-1)/(1-(1+'Analysis'!$C$12/12)^-('Analysis'!$C$13*12))))</x:f>
        <x:v>0</x:v>
      </x:c>
      <x:c r="H512" s="16" t="n">
        <x:f>IF(B512&gt;='Analysis'!$C$13*12,0,MAX(0,D512-G512))</x:f>
        <x:v>0</x:v>
      </x:c>
    </x:row>
    <x:row r="513" ht="22" customHeight="1">
      <x:c r="A513" s="2"/>
      <x:c r="B513" s="41" t="n">
        <x:f>508</x:f>
        <x:v>508</x:v>
      </x:c>
      <x:c r="C513" s="41" t="n">
        <x:f>ROUNDUP(B513/12,0)</x:f>
        <x:v>43</x:v>
      </x:c>
      <x:c r="D513" s="16" t="n">
        <x:f>H512</x:f>
        <x:v>0</x:v>
      </x:c>
      <x:c r="E513" s="32" t="n">
        <x:f>IF(B513&gt;'Analysis'!$C$13*12,0,'Analysis'!$G$22)</x:f>
        <x:v>0</x:v>
      </x:c>
      <x:c r="F513" s="32" t="n">
        <x:f>MAX(0,E513-G513)</x:f>
        <x:v>0</x:v>
      </x:c>
      <x:c r="G513" s="16" t="n">
        <x:f>IF(OR('Analysis'!$G$21=0,B513&gt;'Analysis'!$C$13*12),0,IF('Analysis'!$C$12=0,'Analysis'!$G$21/('Analysis'!$C$13*12),'Analysis'!$G$21*(1+'Analysis'!$C$12/12)^-('Analysis'!$C$13*12-B513)*(1-(1+'Analysis'!$C$12/12)^-1)/(1-(1+'Analysis'!$C$12/12)^-('Analysis'!$C$13*12))))</x:f>
        <x:v>0</x:v>
      </x:c>
      <x:c r="H513" s="16" t="n">
        <x:f>IF(B513&gt;='Analysis'!$C$13*12,0,MAX(0,D513-G513))</x:f>
        <x:v>0</x:v>
      </x:c>
    </x:row>
    <x:row r="514" ht="22" customHeight="1">
      <x:c r="A514" s="2"/>
      <x:c r="B514" s="41" t="n">
        <x:f>509</x:f>
        <x:v>509</x:v>
      </x:c>
      <x:c r="C514" s="41" t="n">
        <x:f>ROUNDUP(B514/12,0)</x:f>
        <x:v>43</x:v>
      </x:c>
      <x:c r="D514" s="16" t="n">
        <x:f>H513</x:f>
        <x:v>0</x:v>
      </x:c>
      <x:c r="E514" s="32" t="n">
        <x:f>IF(B514&gt;'Analysis'!$C$13*12,0,'Analysis'!$G$22)</x:f>
        <x:v>0</x:v>
      </x:c>
      <x:c r="F514" s="32" t="n">
        <x:f>MAX(0,E514-G514)</x:f>
        <x:v>0</x:v>
      </x:c>
      <x:c r="G514" s="16" t="n">
        <x:f>IF(OR('Analysis'!$G$21=0,B514&gt;'Analysis'!$C$13*12),0,IF('Analysis'!$C$12=0,'Analysis'!$G$21/('Analysis'!$C$13*12),'Analysis'!$G$21*(1+'Analysis'!$C$12/12)^-('Analysis'!$C$13*12-B514)*(1-(1+'Analysis'!$C$12/12)^-1)/(1-(1+'Analysis'!$C$12/12)^-('Analysis'!$C$13*12))))</x:f>
        <x:v>0</x:v>
      </x:c>
      <x:c r="H514" s="16" t="n">
        <x:f>IF(B514&gt;='Analysis'!$C$13*12,0,MAX(0,D514-G514))</x:f>
        <x:v>0</x:v>
      </x:c>
    </x:row>
    <x:row r="515" ht="22" customHeight="1">
      <x:c r="A515" s="2"/>
      <x:c r="B515" s="41" t="n">
        <x:f>510</x:f>
        <x:v>510</x:v>
      </x:c>
      <x:c r="C515" s="41" t="n">
        <x:f>ROUNDUP(B515/12,0)</x:f>
        <x:v>43</x:v>
      </x:c>
      <x:c r="D515" s="16" t="n">
        <x:f>H514</x:f>
        <x:v>0</x:v>
      </x:c>
      <x:c r="E515" s="32" t="n">
        <x:f>IF(B515&gt;'Analysis'!$C$13*12,0,'Analysis'!$G$22)</x:f>
        <x:v>0</x:v>
      </x:c>
      <x:c r="F515" s="32" t="n">
        <x:f>MAX(0,E515-G515)</x:f>
        <x:v>0</x:v>
      </x:c>
      <x:c r="G515" s="16" t="n">
        <x:f>IF(OR('Analysis'!$G$21=0,B515&gt;'Analysis'!$C$13*12),0,IF('Analysis'!$C$12=0,'Analysis'!$G$21/('Analysis'!$C$13*12),'Analysis'!$G$21*(1+'Analysis'!$C$12/12)^-('Analysis'!$C$13*12-B515)*(1-(1+'Analysis'!$C$12/12)^-1)/(1-(1+'Analysis'!$C$12/12)^-('Analysis'!$C$13*12))))</x:f>
        <x:v>0</x:v>
      </x:c>
      <x:c r="H515" s="16" t="n">
        <x:f>IF(B515&gt;='Analysis'!$C$13*12,0,MAX(0,D515-G515))</x:f>
        <x:v>0</x:v>
      </x:c>
    </x:row>
    <x:row r="516" ht="22" customHeight="1">
      <x:c r="A516" s="2"/>
      <x:c r="B516" s="41" t="n">
        <x:f>511</x:f>
        <x:v>511</x:v>
      </x:c>
      <x:c r="C516" s="41" t="n">
        <x:f>ROUNDUP(B516/12,0)</x:f>
        <x:v>43</x:v>
      </x:c>
      <x:c r="D516" s="16" t="n">
        <x:f>H515</x:f>
        <x:v>0</x:v>
      </x:c>
      <x:c r="E516" s="32" t="n">
        <x:f>IF(B516&gt;'Analysis'!$C$13*12,0,'Analysis'!$G$22)</x:f>
        <x:v>0</x:v>
      </x:c>
      <x:c r="F516" s="32" t="n">
        <x:f>MAX(0,E516-G516)</x:f>
        <x:v>0</x:v>
      </x:c>
      <x:c r="G516" s="16" t="n">
        <x:f>IF(OR('Analysis'!$G$21=0,B516&gt;'Analysis'!$C$13*12),0,IF('Analysis'!$C$12=0,'Analysis'!$G$21/('Analysis'!$C$13*12),'Analysis'!$G$21*(1+'Analysis'!$C$12/12)^-('Analysis'!$C$13*12-B516)*(1-(1+'Analysis'!$C$12/12)^-1)/(1-(1+'Analysis'!$C$12/12)^-('Analysis'!$C$13*12))))</x:f>
        <x:v>0</x:v>
      </x:c>
      <x:c r="H516" s="16" t="n">
        <x:f>IF(B516&gt;='Analysis'!$C$13*12,0,MAX(0,D516-G516))</x:f>
        <x:v>0</x:v>
      </x:c>
    </x:row>
    <x:row r="517" ht="22" customHeight="1">
      <x:c r="A517" s="2"/>
      <x:c r="B517" s="41" t="n">
        <x:f>512</x:f>
        <x:v>512</x:v>
      </x:c>
      <x:c r="C517" s="41" t="n">
        <x:f>ROUNDUP(B517/12,0)</x:f>
        <x:v>43</x:v>
      </x:c>
      <x:c r="D517" s="16" t="n">
        <x:f>H516</x:f>
        <x:v>0</x:v>
      </x:c>
      <x:c r="E517" s="32" t="n">
        <x:f>IF(B517&gt;'Analysis'!$C$13*12,0,'Analysis'!$G$22)</x:f>
        <x:v>0</x:v>
      </x:c>
      <x:c r="F517" s="32" t="n">
        <x:f>MAX(0,E517-G517)</x:f>
        <x:v>0</x:v>
      </x:c>
      <x:c r="G517" s="16" t="n">
        <x:f>IF(OR('Analysis'!$G$21=0,B517&gt;'Analysis'!$C$13*12),0,IF('Analysis'!$C$12=0,'Analysis'!$G$21/('Analysis'!$C$13*12),'Analysis'!$G$21*(1+'Analysis'!$C$12/12)^-('Analysis'!$C$13*12-B517)*(1-(1+'Analysis'!$C$12/12)^-1)/(1-(1+'Analysis'!$C$12/12)^-('Analysis'!$C$13*12))))</x:f>
        <x:v>0</x:v>
      </x:c>
      <x:c r="H517" s="16" t="n">
        <x:f>IF(B517&gt;='Analysis'!$C$13*12,0,MAX(0,D517-G517))</x:f>
        <x:v>0</x:v>
      </x:c>
    </x:row>
    <x:row r="518" ht="22" customHeight="1">
      <x:c r="A518" s="2"/>
      <x:c r="B518" s="41" t="n">
        <x:f>513</x:f>
        <x:v>513</x:v>
      </x:c>
      <x:c r="C518" s="41" t="n">
        <x:f>ROUNDUP(B518/12,0)</x:f>
        <x:v>43</x:v>
      </x:c>
      <x:c r="D518" s="16" t="n">
        <x:f>H517</x:f>
        <x:v>0</x:v>
      </x:c>
      <x:c r="E518" s="32" t="n">
        <x:f>IF(B518&gt;'Analysis'!$C$13*12,0,'Analysis'!$G$22)</x:f>
        <x:v>0</x:v>
      </x:c>
      <x:c r="F518" s="32" t="n">
        <x:f>MAX(0,E518-G518)</x:f>
        <x:v>0</x:v>
      </x:c>
      <x:c r="G518" s="16" t="n">
        <x:f>IF(OR('Analysis'!$G$21=0,B518&gt;'Analysis'!$C$13*12),0,IF('Analysis'!$C$12=0,'Analysis'!$G$21/('Analysis'!$C$13*12),'Analysis'!$G$21*(1+'Analysis'!$C$12/12)^-('Analysis'!$C$13*12-B518)*(1-(1+'Analysis'!$C$12/12)^-1)/(1-(1+'Analysis'!$C$12/12)^-('Analysis'!$C$13*12))))</x:f>
        <x:v>0</x:v>
      </x:c>
      <x:c r="H518" s="16" t="n">
        <x:f>IF(B518&gt;='Analysis'!$C$13*12,0,MAX(0,D518-G518))</x:f>
        <x:v>0</x:v>
      </x:c>
    </x:row>
    <x:row r="519" ht="22" customHeight="1">
      <x:c r="A519" s="2"/>
      <x:c r="B519" s="41" t="n">
        <x:f>514</x:f>
        <x:v>514</x:v>
      </x:c>
      <x:c r="C519" s="41" t="n">
        <x:f>ROUNDUP(B519/12,0)</x:f>
        <x:v>43</x:v>
      </x:c>
      <x:c r="D519" s="16" t="n">
        <x:f>H518</x:f>
        <x:v>0</x:v>
      </x:c>
      <x:c r="E519" s="32" t="n">
        <x:f>IF(B519&gt;'Analysis'!$C$13*12,0,'Analysis'!$G$22)</x:f>
        <x:v>0</x:v>
      </x:c>
      <x:c r="F519" s="32" t="n">
        <x:f>MAX(0,E519-G519)</x:f>
        <x:v>0</x:v>
      </x:c>
      <x:c r="G519" s="16" t="n">
        <x:f>IF(OR('Analysis'!$G$21=0,B519&gt;'Analysis'!$C$13*12),0,IF('Analysis'!$C$12=0,'Analysis'!$G$21/('Analysis'!$C$13*12),'Analysis'!$G$21*(1+'Analysis'!$C$12/12)^-('Analysis'!$C$13*12-B519)*(1-(1+'Analysis'!$C$12/12)^-1)/(1-(1+'Analysis'!$C$12/12)^-('Analysis'!$C$13*12))))</x:f>
        <x:v>0</x:v>
      </x:c>
      <x:c r="H519" s="16" t="n">
        <x:f>IF(B519&gt;='Analysis'!$C$13*12,0,MAX(0,D519-G519))</x:f>
        <x:v>0</x:v>
      </x:c>
    </x:row>
    <x:row r="520" ht="22" customHeight="1">
      <x:c r="A520" s="2"/>
      <x:c r="B520" s="41" t="n">
        <x:f>515</x:f>
        <x:v>515</x:v>
      </x:c>
      <x:c r="C520" s="41" t="n">
        <x:f>ROUNDUP(B520/12,0)</x:f>
        <x:v>43</x:v>
      </x:c>
      <x:c r="D520" s="16" t="n">
        <x:f>H519</x:f>
        <x:v>0</x:v>
      </x:c>
      <x:c r="E520" s="32" t="n">
        <x:f>IF(B520&gt;'Analysis'!$C$13*12,0,'Analysis'!$G$22)</x:f>
        <x:v>0</x:v>
      </x:c>
      <x:c r="F520" s="32" t="n">
        <x:f>MAX(0,E520-G520)</x:f>
        <x:v>0</x:v>
      </x:c>
      <x:c r="G520" s="16" t="n">
        <x:f>IF(OR('Analysis'!$G$21=0,B520&gt;'Analysis'!$C$13*12),0,IF('Analysis'!$C$12=0,'Analysis'!$G$21/('Analysis'!$C$13*12),'Analysis'!$G$21*(1+'Analysis'!$C$12/12)^-('Analysis'!$C$13*12-B520)*(1-(1+'Analysis'!$C$12/12)^-1)/(1-(1+'Analysis'!$C$12/12)^-('Analysis'!$C$13*12))))</x:f>
        <x:v>0</x:v>
      </x:c>
      <x:c r="H520" s="16" t="n">
        <x:f>IF(B520&gt;='Analysis'!$C$13*12,0,MAX(0,D520-G520))</x:f>
        <x:v>0</x:v>
      </x:c>
    </x:row>
    <x:row r="521" ht="22" customHeight="1">
      <x:c r="A521" s="2"/>
      <x:c r="B521" s="41" t="n">
        <x:f>516</x:f>
        <x:v>516</x:v>
      </x:c>
      <x:c r="C521" s="41" t="n">
        <x:f>ROUNDUP(B521/12,0)</x:f>
        <x:v>43</x:v>
      </x:c>
      <x:c r="D521" s="16" t="n">
        <x:f>H520</x:f>
        <x:v>0</x:v>
      </x:c>
      <x:c r="E521" s="32" t="n">
        <x:f>IF(B521&gt;'Analysis'!$C$13*12,0,'Analysis'!$G$22)</x:f>
        <x:v>0</x:v>
      </x:c>
      <x:c r="F521" s="32" t="n">
        <x:f>MAX(0,E521-G521)</x:f>
        <x:v>0</x:v>
      </x:c>
      <x:c r="G521" s="16" t="n">
        <x:f>IF(OR('Analysis'!$G$21=0,B521&gt;'Analysis'!$C$13*12),0,IF('Analysis'!$C$12=0,'Analysis'!$G$21/('Analysis'!$C$13*12),'Analysis'!$G$21*(1+'Analysis'!$C$12/12)^-('Analysis'!$C$13*12-B521)*(1-(1+'Analysis'!$C$12/12)^-1)/(1-(1+'Analysis'!$C$12/12)^-('Analysis'!$C$13*12))))</x:f>
        <x:v>0</x:v>
      </x:c>
      <x:c r="H521" s="16" t="n">
        <x:f>IF(B521&gt;='Analysis'!$C$13*12,0,MAX(0,D521-G521))</x:f>
        <x:v>0</x:v>
      </x:c>
    </x:row>
    <x:row r="522" ht="22" customHeight="1">
      <x:c r="A522" s="2"/>
      <x:c r="B522" s="41" t="n">
        <x:f>517</x:f>
        <x:v>517</x:v>
      </x:c>
      <x:c r="C522" s="41" t="n">
        <x:f>ROUNDUP(B522/12,0)</x:f>
        <x:v>44</x:v>
      </x:c>
      <x:c r="D522" s="16" t="n">
        <x:f>H521</x:f>
        <x:v>0</x:v>
      </x:c>
      <x:c r="E522" s="32" t="n">
        <x:f>IF(B522&gt;'Analysis'!$C$13*12,0,'Analysis'!$G$22)</x:f>
        <x:v>0</x:v>
      </x:c>
      <x:c r="F522" s="32" t="n">
        <x:f>MAX(0,E522-G522)</x:f>
        <x:v>0</x:v>
      </x:c>
      <x:c r="G522" s="16" t="n">
        <x:f>IF(OR('Analysis'!$G$21=0,B522&gt;'Analysis'!$C$13*12),0,IF('Analysis'!$C$12=0,'Analysis'!$G$21/('Analysis'!$C$13*12),'Analysis'!$G$21*(1+'Analysis'!$C$12/12)^-('Analysis'!$C$13*12-B522)*(1-(1+'Analysis'!$C$12/12)^-1)/(1-(1+'Analysis'!$C$12/12)^-('Analysis'!$C$13*12))))</x:f>
        <x:v>0</x:v>
      </x:c>
      <x:c r="H522" s="16" t="n">
        <x:f>IF(B522&gt;='Analysis'!$C$13*12,0,MAX(0,D522-G522))</x:f>
        <x:v>0</x:v>
      </x:c>
    </x:row>
    <x:row r="523" ht="22" customHeight="1">
      <x:c r="A523" s="2"/>
      <x:c r="B523" s="41" t="n">
        <x:f>518</x:f>
        <x:v>518</x:v>
      </x:c>
      <x:c r="C523" s="41" t="n">
        <x:f>ROUNDUP(B523/12,0)</x:f>
        <x:v>44</x:v>
      </x:c>
      <x:c r="D523" s="16" t="n">
        <x:f>H522</x:f>
        <x:v>0</x:v>
      </x:c>
      <x:c r="E523" s="32" t="n">
        <x:f>IF(B523&gt;'Analysis'!$C$13*12,0,'Analysis'!$G$22)</x:f>
        <x:v>0</x:v>
      </x:c>
      <x:c r="F523" s="32" t="n">
        <x:f>MAX(0,E523-G523)</x:f>
        <x:v>0</x:v>
      </x:c>
      <x:c r="G523" s="16" t="n">
        <x:f>IF(OR('Analysis'!$G$21=0,B523&gt;'Analysis'!$C$13*12),0,IF('Analysis'!$C$12=0,'Analysis'!$G$21/('Analysis'!$C$13*12),'Analysis'!$G$21*(1+'Analysis'!$C$12/12)^-('Analysis'!$C$13*12-B523)*(1-(1+'Analysis'!$C$12/12)^-1)/(1-(1+'Analysis'!$C$12/12)^-('Analysis'!$C$13*12))))</x:f>
        <x:v>0</x:v>
      </x:c>
      <x:c r="H523" s="16" t="n">
        <x:f>IF(B523&gt;='Analysis'!$C$13*12,0,MAX(0,D523-G523))</x:f>
        <x:v>0</x:v>
      </x:c>
    </x:row>
    <x:row r="524" ht="22" customHeight="1">
      <x:c r="A524" s="2"/>
      <x:c r="B524" s="41" t="n">
        <x:f>519</x:f>
        <x:v>519</x:v>
      </x:c>
      <x:c r="C524" s="41" t="n">
        <x:f>ROUNDUP(B524/12,0)</x:f>
        <x:v>44</x:v>
      </x:c>
      <x:c r="D524" s="16" t="n">
        <x:f>H523</x:f>
        <x:v>0</x:v>
      </x:c>
      <x:c r="E524" s="32" t="n">
        <x:f>IF(B524&gt;'Analysis'!$C$13*12,0,'Analysis'!$G$22)</x:f>
        <x:v>0</x:v>
      </x:c>
      <x:c r="F524" s="32" t="n">
        <x:f>MAX(0,E524-G524)</x:f>
        <x:v>0</x:v>
      </x:c>
      <x:c r="G524" s="16" t="n">
        <x:f>IF(OR('Analysis'!$G$21=0,B524&gt;'Analysis'!$C$13*12),0,IF('Analysis'!$C$12=0,'Analysis'!$G$21/('Analysis'!$C$13*12),'Analysis'!$G$21*(1+'Analysis'!$C$12/12)^-('Analysis'!$C$13*12-B524)*(1-(1+'Analysis'!$C$12/12)^-1)/(1-(1+'Analysis'!$C$12/12)^-('Analysis'!$C$13*12))))</x:f>
        <x:v>0</x:v>
      </x:c>
      <x:c r="H524" s="16" t="n">
        <x:f>IF(B524&gt;='Analysis'!$C$13*12,0,MAX(0,D524-G524))</x:f>
        <x:v>0</x:v>
      </x:c>
    </x:row>
    <x:row r="525" ht="22" customHeight="1">
      <x:c r="A525" s="2"/>
      <x:c r="B525" s="41" t="n">
        <x:f>520</x:f>
        <x:v>520</x:v>
      </x:c>
      <x:c r="C525" s="41" t="n">
        <x:f>ROUNDUP(B525/12,0)</x:f>
        <x:v>44</x:v>
      </x:c>
      <x:c r="D525" s="16" t="n">
        <x:f>H524</x:f>
        <x:v>0</x:v>
      </x:c>
      <x:c r="E525" s="32" t="n">
        <x:f>IF(B525&gt;'Analysis'!$C$13*12,0,'Analysis'!$G$22)</x:f>
        <x:v>0</x:v>
      </x:c>
      <x:c r="F525" s="32" t="n">
        <x:f>MAX(0,E525-G525)</x:f>
        <x:v>0</x:v>
      </x:c>
      <x:c r="G525" s="16" t="n">
        <x:f>IF(OR('Analysis'!$G$21=0,B525&gt;'Analysis'!$C$13*12),0,IF('Analysis'!$C$12=0,'Analysis'!$G$21/('Analysis'!$C$13*12),'Analysis'!$G$21*(1+'Analysis'!$C$12/12)^-('Analysis'!$C$13*12-B525)*(1-(1+'Analysis'!$C$12/12)^-1)/(1-(1+'Analysis'!$C$12/12)^-('Analysis'!$C$13*12))))</x:f>
        <x:v>0</x:v>
      </x:c>
      <x:c r="H525" s="16" t="n">
        <x:f>IF(B525&gt;='Analysis'!$C$13*12,0,MAX(0,D525-G525))</x:f>
        <x:v>0</x:v>
      </x:c>
    </x:row>
    <x:row r="526" ht="22" customHeight="1">
      <x:c r="A526" s="2"/>
      <x:c r="B526" s="41" t="n">
        <x:f>521</x:f>
        <x:v>521</x:v>
      </x:c>
      <x:c r="C526" s="41" t="n">
        <x:f>ROUNDUP(B526/12,0)</x:f>
        <x:v>44</x:v>
      </x:c>
      <x:c r="D526" s="16" t="n">
        <x:f>H525</x:f>
        <x:v>0</x:v>
      </x:c>
      <x:c r="E526" s="32" t="n">
        <x:f>IF(B526&gt;'Analysis'!$C$13*12,0,'Analysis'!$G$22)</x:f>
        <x:v>0</x:v>
      </x:c>
      <x:c r="F526" s="32" t="n">
        <x:f>MAX(0,E526-G526)</x:f>
        <x:v>0</x:v>
      </x:c>
      <x:c r="G526" s="16" t="n">
        <x:f>IF(OR('Analysis'!$G$21=0,B526&gt;'Analysis'!$C$13*12),0,IF('Analysis'!$C$12=0,'Analysis'!$G$21/('Analysis'!$C$13*12),'Analysis'!$G$21*(1+'Analysis'!$C$12/12)^-('Analysis'!$C$13*12-B526)*(1-(1+'Analysis'!$C$12/12)^-1)/(1-(1+'Analysis'!$C$12/12)^-('Analysis'!$C$13*12))))</x:f>
        <x:v>0</x:v>
      </x:c>
      <x:c r="H526" s="16" t="n">
        <x:f>IF(B526&gt;='Analysis'!$C$13*12,0,MAX(0,D526-G526))</x:f>
        <x:v>0</x:v>
      </x:c>
    </x:row>
    <x:row r="527" ht="22" customHeight="1">
      <x:c r="A527" s="2"/>
      <x:c r="B527" s="41" t="n">
        <x:f>522</x:f>
        <x:v>522</x:v>
      </x:c>
      <x:c r="C527" s="41" t="n">
        <x:f>ROUNDUP(B527/12,0)</x:f>
        <x:v>44</x:v>
      </x:c>
      <x:c r="D527" s="16" t="n">
        <x:f>H526</x:f>
        <x:v>0</x:v>
      </x:c>
      <x:c r="E527" s="32" t="n">
        <x:f>IF(B527&gt;'Analysis'!$C$13*12,0,'Analysis'!$G$22)</x:f>
        <x:v>0</x:v>
      </x:c>
      <x:c r="F527" s="32" t="n">
        <x:f>MAX(0,E527-G527)</x:f>
        <x:v>0</x:v>
      </x:c>
      <x:c r="G527" s="16" t="n">
        <x:f>IF(OR('Analysis'!$G$21=0,B527&gt;'Analysis'!$C$13*12),0,IF('Analysis'!$C$12=0,'Analysis'!$G$21/('Analysis'!$C$13*12),'Analysis'!$G$21*(1+'Analysis'!$C$12/12)^-('Analysis'!$C$13*12-B527)*(1-(1+'Analysis'!$C$12/12)^-1)/(1-(1+'Analysis'!$C$12/12)^-('Analysis'!$C$13*12))))</x:f>
        <x:v>0</x:v>
      </x:c>
      <x:c r="H527" s="16" t="n">
        <x:f>IF(B527&gt;='Analysis'!$C$13*12,0,MAX(0,D527-G527))</x:f>
        <x:v>0</x:v>
      </x:c>
    </x:row>
    <x:row r="528" ht="22" customHeight="1">
      <x:c r="A528" s="2"/>
      <x:c r="B528" s="41" t="n">
        <x:f>523</x:f>
        <x:v>523</x:v>
      </x:c>
      <x:c r="C528" s="41" t="n">
        <x:f>ROUNDUP(B528/12,0)</x:f>
        <x:v>44</x:v>
      </x:c>
      <x:c r="D528" s="16" t="n">
        <x:f>H527</x:f>
        <x:v>0</x:v>
      </x:c>
      <x:c r="E528" s="32" t="n">
        <x:f>IF(B528&gt;'Analysis'!$C$13*12,0,'Analysis'!$G$22)</x:f>
        <x:v>0</x:v>
      </x:c>
      <x:c r="F528" s="32" t="n">
        <x:f>MAX(0,E528-G528)</x:f>
        <x:v>0</x:v>
      </x:c>
      <x:c r="G528" s="16" t="n">
        <x:f>IF(OR('Analysis'!$G$21=0,B528&gt;'Analysis'!$C$13*12),0,IF('Analysis'!$C$12=0,'Analysis'!$G$21/('Analysis'!$C$13*12),'Analysis'!$G$21*(1+'Analysis'!$C$12/12)^-('Analysis'!$C$13*12-B528)*(1-(1+'Analysis'!$C$12/12)^-1)/(1-(1+'Analysis'!$C$12/12)^-('Analysis'!$C$13*12))))</x:f>
        <x:v>0</x:v>
      </x:c>
      <x:c r="H528" s="16" t="n">
        <x:f>IF(B528&gt;='Analysis'!$C$13*12,0,MAX(0,D528-G528))</x:f>
        <x:v>0</x:v>
      </x:c>
    </x:row>
    <x:row r="529" ht="22" customHeight="1">
      <x:c r="A529" s="2"/>
      <x:c r="B529" s="41" t="n">
        <x:f>524</x:f>
        <x:v>524</x:v>
      </x:c>
      <x:c r="C529" s="41" t="n">
        <x:f>ROUNDUP(B529/12,0)</x:f>
        <x:v>44</x:v>
      </x:c>
      <x:c r="D529" s="16" t="n">
        <x:f>H528</x:f>
        <x:v>0</x:v>
      </x:c>
      <x:c r="E529" s="32" t="n">
        <x:f>IF(B529&gt;'Analysis'!$C$13*12,0,'Analysis'!$G$22)</x:f>
        <x:v>0</x:v>
      </x:c>
      <x:c r="F529" s="32" t="n">
        <x:f>MAX(0,E529-G529)</x:f>
        <x:v>0</x:v>
      </x:c>
      <x:c r="G529" s="16" t="n">
        <x:f>IF(OR('Analysis'!$G$21=0,B529&gt;'Analysis'!$C$13*12),0,IF('Analysis'!$C$12=0,'Analysis'!$G$21/('Analysis'!$C$13*12),'Analysis'!$G$21*(1+'Analysis'!$C$12/12)^-('Analysis'!$C$13*12-B529)*(1-(1+'Analysis'!$C$12/12)^-1)/(1-(1+'Analysis'!$C$12/12)^-('Analysis'!$C$13*12))))</x:f>
        <x:v>0</x:v>
      </x:c>
      <x:c r="H529" s="16" t="n">
        <x:f>IF(B529&gt;='Analysis'!$C$13*12,0,MAX(0,D529-G529))</x:f>
        <x:v>0</x:v>
      </x:c>
    </x:row>
    <x:row r="530" ht="22" customHeight="1">
      <x:c r="A530" s="2"/>
      <x:c r="B530" s="41" t="n">
        <x:f>525</x:f>
        <x:v>525</x:v>
      </x:c>
      <x:c r="C530" s="41" t="n">
        <x:f>ROUNDUP(B530/12,0)</x:f>
        <x:v>44</x:v>
      </x:c>
      <x:c r="D530" s="16" t="n">
        <x:f>H529</x:f>
        <x:v>0</x:v>
      </x:c>
      <x:c r="E530" s="32" t="n">
        <x:f>IF(B530&gt;'Analysis'!$C$13*12,0,'Analysis'!$G$22)</x:f>
        <x:v>0</x:v>
      </x:c>
      <x:c r="F530" s="32" t="n">
        <x:f>MAX(0,E530-G530)</x:f>
        <x:v>0</x:v>
      </x:c>
      <x:c r="G530" s="16" t="n">
        <x:f>IF(OR('Analysis'!$G$21=0,B530&gt;'Analysis'!$C$13*12),0,IF('Analysis'!$C$12=0,'Analysis'!$G$21/('Analysis'!$C$13*12),'Analysis'!$G$21*(1+'Analysis'!$C$12/12)^-('Analysis'!$C$13*12-B530)*(1-(1+'Analysis'!$C$12/12)^-1)/(1-(1+'Analysis'!$C$12/12)^-('Analysis'!$C$13*12))))</x:f>
        <x:v>0</x:v>
      </x:c>
      <x:c r="H530" s="16" t="n">
        <x:f>IF(B530&gt;='Analysis'!$C$13*12,0,MAX(0,D530-G530))</x:f>
        <x:v>0</x:v>
      </x:c>
    </x:row>
    <x:row r="531" ht="22" customHeight="1">
      <x:c r="A531" s="2"/>
      <x:c r="B531" s="41" t="n">
        <x:f>526</x:f>
        <x:v>526</x:v>
      </x:c>
      <x:c r="C531" s="41" t="n">
        <x:f>ROUNDUP(B531/12,0)</x:f>
        <x:v>44</x:v>
      </x:c>
      <x:c r="D531" s="16" t="n">
        <x:f>H530</x:f>
        <x:v>0</x:v>
      </x:c>
      <x:c r="E531" s="32" t="n">
        <x:f>IF(B531&gt;'Analysis'!$C$13*12,0,'Analysis'!$G$22)</x:f>
        <x:v>0</x:v>
      </x:c>
      <x:c r="F531" s="32" t="n">
        <x:f>MAX(0,E531-G531)</x:f>
        <x:v>0</x:v>
      </x:c>
      <x:c r="G531" s="16" t="n">
        <x:f>IF(OR('Analysis'!$G$21=0,B531&gt;'Analysis'!$C$13*12),0,IF('Analysis'!$C$12=0,'Analysis'!$G$21/('Analysis'!$C$13*12),'Analysis'!$G$21*(1+'Analysis'!$C$12/12)^-('Analysis'!$C$13*12-B531)*(1-(1+'Analysis'!$C$12/12)^-1)/(1-(1+'Analysis'!$C$12/12)^-('Analysis'!$C$13*12))))</x:f>
        <x:v>0</x:v>
      </x:c>
      <x:c r="H531" s="16" t="n">
        <x:f>IF(B531&gt;='Analysis'!$C$13*12,0,MAX(0,D531-G531))</x:f>
        <x:v>0</x:v>
      </x:c>
    </x:row>
    <x:row r="532" ht="22" customHeight="1">
      <x:c r="A532" s="2"/>
      <x:c r="B532" s="41" t="n">
        <x:f>527</x:f>
        <x:v>527</x:v>
      </x:c>
      <x:c r="C532" s="41" t="n">
        <x:f>ROUNDUP(B532/12,0)</x:f>
        <x:v>44</x:v>
      </x:c>
      <x:c r="D532" s="16" t="n">
        <x:f>H531</x:f>
        <x:v>0</x:v>
      </x:c>
      <x:c r="E532" s="32" t="n">
        <x:f>IF(B532&gt;'Analysis'!$C$13*12,0,'Analysis'!$G$22)</x:f>
        <x:v>0</x:v>
      </x:c>
      <x:c r="F532" s="32" t="n">
        <x:f>MAX(0,E532-G532)</x:f>
        <x:v>0</x:v>
      </x:c>
      <x:c r="G532" s="16" t="n">
        <x:f>IF(OR('Analysis'!$G$21=0,B532&gt;'Analysis'!$C$13*12),0,IF('Analysis'!$C$12=0,'Analysis'!$G$21/('Analysis'!$C$13*12),'Analysis'!$G$21*(1+'Analysis'!$C$12/12)^-('Analysis'!$C$13*12-B532)*(1-(1+'Analysis'!$C$12/12)^-1)/(1-(1+'Analysis'!$C$12/12)^-('Analysis'!$C$13*12))))</x:f>
        <x:v>0</x:v>
      </x:c>
      <x:c r="H532" s="16" t="n">
        <x:f>IF(B532&gt;='Analysis'!$C$13*12,0,MAX(0,D532-G532))</x:f>
        <x:v>0</x:v>
      </x:c>
    </x:row>
    <x:row r="533" ht="22" customHeight="1">
      <x:c r="A533" s="2"/>
      <x:c r="B533" s="41" t="n">
        <x:f>528</x:f>
        <x:v>528</x:v>
      </x:c>
      <x:c r="C533" s="41" t="n">
        <x:f>ROUNDUP(B533/12,0)</x:f>
        <x:v>44</x:v>
      </x:c>
      <x:c r="D533" s="16" t="n">
        <x:f>H532</x:f>
        <x:v>0</x:v>
      </x:c>
      <x:c r="E533" s="32" t="n">
        <x:f>IF(B533&gt;'Analysis'!$C$13*12,0,'Analysis'!$G$22)</x:f>
        <x:v>0</x:v>
      </x:c>
      <x:c r="F533" s="32" t="n">
        <x:f>MAX(0,E533-G533)</x:f>
        <x:v>0</x:v>
      </x:c>
      <x:c r="G533" s="16" t="n">
        <x:f>IF(OR('Analysis'!$G$21=0,B533&gt;'Analysis'!$C$13*12),0,IF('Analysis'!$C$12=0,'Analysis'!$G$21/('Analysis'!$C$13*12),'Analysis'!$G$21*(1+'Analysis'!$C$12/12)^-('Analysis'!$C$13*12-B533)*(1-(1+'Analysis'!$C$12/12)^-1)/(1-(1+'Analysis'!$C$12/12)^-('Analysis'!$C$13*12))))</x:f>
        <x:v>0</x:v>
      </x:c>
      <x:c r="H533" s="16" t="n">
        <x:f>IF(B533&gt;='Analysis'!$C$13*12,0,MAX(0,D533-G533))</x:f>
        <x:v>0</x:v>
      </x:c>
    </x:row>
    <x:row r="534" ht="22" customHeight="1">
      <x:c r="A534" s="2"/>
      <x:c r="B534" s="41" t="n">
        <x:f>529</x:f>
        <x:v>529</x:v>
      </x:c>
      <x:c r="C534" s="41" t="n">
        <x:f>ROUNDUP(B534/12,0)</x:f>
        <x:v>45</x:v>
      </x:c>
      <x:c r="D534" s="16" t="n">
        <x:f>H533</x:f>
        <x:v>0</x:v>
      </x:c>
      <x:c r="E534" s="32" t="n">
        <x:f>IF(B534&gt;'Analysis'!$C$13*12,0,'Analysis'!$G$22)</x:f>
        <x:v>0</x:v>
      </x:c>
      <x:c r="F534" s="32" t="n">
        <x:f>MAX(0,E534-G534)</x:f>
        <x:v>0</x:v>
      </x:c>
      <x:c r="G534" s="16" t="n">
        <x:f>IF(OR('Analysis'!$G$21=0,B534&gt;'Analysis'!$C$13*12),0,IF('Analysis'!$C$12=0,'Analysis'!$G$21/('Analysis'!$C$13*12),'Analysis'!$G$21*(1+'Analysis'!$C$12/12)^-('Analysis'!$C$13*12-B534)*(1-(1+'Analysis'!$C$12/12)^-1)/(1-(1+'Analysis'!$C$12/12)^-('Analysis'!$C$13*12))))</x:f>
        <x:v>0</x:v>
      </x:c>
      <x:c r="H534" s="16" t="n">
        <x:f>IF(B534&gt;='Analysis'!$C$13*12,0,MAX(0,D534-G534))</x:f>
        <x:v>0</x:v>
      </x:c>
    </x:row>
    <x:row r="535" ht="22" customHeight="1">
      <x:c r="A535" s="2"/>
      <x:c r="B535" s="41" t="n">
        <x:f>530</x:f>
        <x:v>530</x:v>
      </x:c>
      <x:c r="C535" s="41" t="n">
        <x:f>ROUNDUP(B535/12,0)</x:f>
        <x:v>45</x:v>
      </x:c>
      <x:c r="D535" s="16" t="n">
        <x:f>H534</x:f>
        <x:v>0</x:v>
      </x:c>
      <x:c r="E535" s="32" t="n">
        <x:f>IF(B535&gt;'Analysis'!$C$13*12,0,'Analysis'!$G$22)</x:f>
        <x:v>0</x:v>
      </x:c>
      <x:c r="F535" s="32" t="n">
        <x:f>MAX(0,E535-G535)</x:f>
        <x:v>0</x:v>
      </x:c>
      <x:c r="G535" s="16" t="n">
        <x:f>IF(OR('Analysis'!$G$21=0,B535&gt;'Analysis'!$C$13*12),0,IF('Analysis'!$C$12=0,'Analysis'!$G$21/('Analysis'!$C$13*12),'Analysis'!$G$21*(1+'Analysis'!$C$12/12)^-('Analysis'!$C$13*12-B535)*(1-(1+'Analysis'!$C$12/12)^-1)/(1-(1+'Analysis'!$C$12/12)^-('Analysis'!$C$13*12))))</x:f>
        <x:v>0</x:v>
      </x:c>
      <x:c r="H535" s="16" t="n">
        <x:f>IF(B535&gt;='Analysis'!$C$13*12,0,MAX(0,D535-G535))</x:f>
        <x:v>0</x:v>
      </x:c>
    </x:row>
    <x:row r="536" ht="22" customHeight="1">
      <x:c r="A536" s="2"/>
      <x:c r="B536" s="41" t="n">
        <x:f>531</x:f>
        <x:v>531</x:v>
      </x:c>
      <x:c r="C536" s="41" t="n">
        <x:f>ROUNDUP(B536/12,0)</x:f>
        <x:v>45</x:v>
      </x:c>
      <x:c r="D536" s="16" t="n">
        <x:f>H535</x:f>
        <x:v>0</x:v>
      </x:c>
      <x:c r="E536" s="32" t="n">
        <x:f>IF(B536&gt;'Analysis'!$C$13*12,0,'Analysis'!$G$22)</x:f>
        <x:v>0</x:v>
      </x:c>
      <x:c r="F536" s="32" t="n">
        <x:f>MAX(0,E536-G536)</x:f>
        <x:v>0</x:v>
      </x:c>
      <x:c r="G536" s="16" t="n">
        <x:f>IF(OR('Analysis'!$G$21=0,B536&gt;'Analysis'!$C$13*12),0,IF('Analysis'!$C$12=0,'Analysis'!$G$21/('Analysis'!$C$13*12),'Analysis'!$G$21*(1+'Analysis'!$C$12/12)^-('Analysis'!$C$13*12-B536)*(1-(1+'Analysis'!$C$12/12)^-1)/(1-(1+'Analysis'!$C$12/12)^-('Analysis'!$C$13*12))))</x:f>
        <x:v>0</x:v>
      </x:c>
      <x:c r="H536" s="16" t="n">
        <x:f>IF(B536&gt;='Analysis'!$C$13*12,0,MAX(0,D536-G536))</x:f>
        <x:v>0</x:v>
      </x:c>
    </x:row>
    <x:row r="537" ht="22" customHeight="1">
      <x:c r="A537" s="2"/>
      <x:c r="B537" s="41" t="n">
        <x:f>532</x:f>
        <x:v>532</x:v>
      </x:c>
      <x:c r="C537" s="41" t="n">
        <x:f>ROUNDUP(B537/12,0)</x:f>
        <x:v>45</x:v>
      </x:c>
      <x:c r="D537" s="16" t="n">
        <x:f>H536</x:f>
        <x:v>0</x:v>
      </x:c>
      <x:c r="E537" s="32" t="n">
        <x:f>IF(B537&gt;'Analysis'!$C$13*12,0,'Analysis'!$G$22)</x:f>
        <x:v>0</x:v>
      </x:c>
      <x:c r="F537" s="32" t="n">
        <x:f>MAX(0,E537-G537)</x:f>
        <x:v>0</x:v>
      </x:c>
      <x:c r="G537" s="16" t="n">
        <x:f>IF(OR('Analysis'!$G$21=0,B537&gt;'Analysis'!$C$13*12),0,IF('Analysis'!$C$12=0,'Analysis'!$G$21/('Analysis'!$C$13*12),'Analysis'!$G$21*(1+'Analysis'!$C$12/12)^-('Analysis'!$C$13*12-B537)*(1-(1+'Analysis'!$C$12/12)^-1)/(1-(1+'Analysis'!$C$12/12)^-('Analysis'!$C$13*12))))</x:f>
        <x:v>0</x:v>
      </x:c>
      <x:c r="H537" s="16" t="n">
        <x:f>IF(B537&gt;='Analysis'!$C$13*12,0,MAX(0,D537-G537))</x:f>
        <x:v>0</x:v>
      </x:c>
    </x:row>
    <x:row r="538" ht="22" customHeight="1">
      <x:c r="A538" s="2"/>
      <x:c r="B538" s="41" t="n">
        <x:f>533</x:f>
        <x:v>533</x:v>
      </x:c>
      <x:c r="C538" s="41" t="n">
        <x:f>ROUNDUP(B538/12,0)</x:f>
        <x:v>45</x:v>
      </x:c>
      <x:c r="D538" s="16" t="n">
        <x:f>H537</x:f>
        <x:v>0</x:v>
      </x:c>
      <x:c r="E538" s="32" t="n">
        <x:f>IF(B538&gt;'Analysis'!$C$13*12,0,'Analysis'!$G$22)</x:f>
        <x:v>0</x:v>
      </x:c>
      <x:c r="F538" s="32" t="n">
        <x:f>MAX(0,E538-G538)</x:f>
        <x:v>0</x:v>
      </x:c>
      <x:c r="G538" s="16" t="n">
        <x:f>IF(OR('Analysis'!$G$21=0,B538&gt;'Analysis'!$C$13*12),0,IF('Analysis'!$C$12=0,'Analysis'!$G$21/('Analysis'!$C$13*12),'Analysis'!$G$21*(1+'Analysis'!$C$12/12)^-('Analysis'!$C$13*12-B538)*(1-(1+'Analysis'!$C$12/12)^-1)/(1-(1+'Analysis'!$C$12/12)^-('Analysis'!$C$13*12))))</x:f>
        <x:v>0</x:v>
      </x:c>
      <x:c r="H538" s="16" t="n">
        <x:f>IF(B538&gt;='Analysis'!$C$13*12,0,MAX(0,D538-G538))</x:f>
        <x:v>0</x:v>
      </x:c>
    </x:row>
    <x:row r="539" ht="22" customHeight="1">
      <x:c r="A539" s="2"/>
      <x:c r="B539" s="41" t="n">
        <x:f>534</x:f>
        <x:v>534</x:v>
      </x:c>
      <x:c r="C539" s="41" t="n">
        <x:f>ROUNDUP(B539/12,0)</x:f>
        <x:v>45</x:v>
      </x:c>
      <x:c r="D539" s="16" t="n">
        <x:f>H538</x:f>
        <x:v>0</x:v>
      </x:c>
      <x:c r="E539" s="32" t="n">
        <x:f>IF(B539&gt;'Analysis'!$C$13*12,0,'Analysis'!$G$22)</x:f>
        <x:v>0</x:v>
      </x:c>
      <x:c r="F539" s="32" t="n">
        <x:f>MAX(0,E539-G539)</x:f>
        <x:v>0</x:v>
      </x:c>
      <x:c r="G539" s="16" t="n">
        <x:f>IF(OR('Analysis'!$G$21=0,B539&gt;'Analysis'!$C$13*12),0,IF('Analysis'!$C$12=0,'Analysis'!$G$21/('Analysis'!$C$13*12),'Analysis'!$G$21*(1+'Analysis'!$C$12/12)^-('Analysis'!$C$13*12-B539)*(1-(1+'Analysis'!$C$12/12)^-1)/(1-(1+'Analysis'!$C$12/12)^-('Analysis'!$C$13*12))))</x:f>
        <x:v>0</x:v>
      </x:c>
      <x:c r="H539" s="16" t="n">
        <x:f>IF(B539&gt;='Analysis'!$C$13*12,0,MAX(0,D539-G539))</x:f>
        <x:v>0</x:v>
      </x:c>
    </x:row>
    <x:row r="540" ht="22" customHeight="1">
      <x:c r="A540" s="2"/>
      <x:c r="B540" s="41" t="n">
        <x:f>535</x:f>
        <x:v>535</x:v>
      </x:c>
      <x:c r="C540" s="41" t="n">
        <x:f>ROUNDUP(B540/12,0)</x:f>
        <x:v>45</x:v>
      </x:c>
      <x:c r="D540" s="16" t="n">
        <x:f>H539</x:f>
        <x:v>0</x:v>
      </x:c>
      <x:c r="E540" s="32" t="n">
        <x:f>IF(B540&gt;'Analysis'!$C$13*12,0,'Analysis'!$G$22)</x:f>
        <x:v>0</x:v>
      </x:c>
      <x:c r="F540" s="32" t="n">
        <x:f>MAX(0,E540-G540)</x:f>
        <x:v>0</x:v>
      </x:c>
      <x:c r="G540" s="16" t="n">
        <x:f>IF(OR('Analysis'!$G$21=0,B540&gt;'Analysis'!$C$13*12),0,IF('Analysis'!$C$12=0,'Analysis'!$G$21/('Analysis'!$C$13*12),'Analysis'!$G$21*(1+'Analysis'!$C$12/12)^-('Analysis'!$C$13*12-B540)*(1-(1+'Analysis'!$C$12/12)^-1)/(1-(1+'Analysis'!$C$12/12)^-('Analysis'!$C$13*12))))</x:f>
        <x:v>0</x:v>
      </x:c>
      <x:c r="H540" s="16" t="n">
        <x:f>IF(B540&gt;='Analysis'!$C$13*12,0,MAX(0,D540-G540))</x:f>
        <x:v>0</x:v>
      </x:c>
    </x:row>
    <x:row r="541" ht="22" customHeight="1">
      <x:c r="A541" s="2"/>
      <x:c r="B541" s="41" t="n">
        <x:f>536</x:f>
        <x:v>536</x:v>
      </x:c>
      <x:c r="C541" s="41" t="n">
        <x:f>ROUNDUP(B541/12,0)</x:f>
        <x:v>45</x:v>
      </x:c>
      <x:c r="D541" s="16" t="n">
        <x:f>H540</x:f>
        <x:v>0</x:v>
      </x:c>
      <x:c r="E541" s="32" t="n">
        <x:f>IF(B541&gt;'Analysis'!$C$13*12,0,'Analysis'!$G$22)</x:f>
        <x:v>0</x:v>
      </x:c>
      <x:c r="F541" s="32" t="n">
        <x:f>MAX(0,E541-G541)</x:f>
        <x:v>0</x:v>
      </x:c>
      <x:c r="G541" s="16" t="n">
        <x:f>IF(OR('Analysis'!$G$21=0,B541&gt;'Analysis'!$C$13*12),0,IF('Analysis'!$C$12=0,'Analysis'!$G$21/('Analysis'!$C$13*12),'Analysis'!$G$21*(1+'Analysis'!$C$12/12)^-('Analysis'!$C$13*12-B541)*(1-(1+'Analysis'!$C$12/12)^-1)/(1-(1+'Analysis'!$C$12/12)^-('Analysis'!$C$13*12))))</x:f>
        <x:v>0</x:v>
      </x:c>
      <x:c r="H541" s="16" t="n">
        <x:f>IF(B541&gt;='Analysis'!$C$13*12,0,MAX(0,D541-G541))</x:f>
        <x:v>0</x:v>
      </x:c>
    </x:row>
    <x:row r="542" ht="22" customHeight="1">
      <x:c r="A542" s="2"/>
      <x:c r="B542" s="41" t="n">
        <x:f>537</x:f>
        <x:v>537</x:v>
      </x:c>
      <x:c r="C542" s="41" t="n">
        <x:f>ROUNDUP(B542/12,0)</x:f>
        <x:v>45</x:v>
      </x:c>
      <x:c r="D542" s="16" t="n">
        <x:f>H541</x:f>
        <x:v>0</x:v>
      </x:c>
      <x:c r="E542" s="32" t="n">
        <x:f>IF(B542&gt;'Analysis'!$C$13*12,0,'Analysis'!$G$22)</x:f>
        <x:v>0</x:v>
      </x:c>
      <x:c r="F542" s="32" t="n">
        <x:f>MAX(0,E542-G542)</x:f>
        <x:v>0</x:v>
      </x:c>
      <x:c r="G542" s="16" t="n">
        <x:f>IF(OR('Analysis'!$G$21=0,B542&gt;'Analysis'!$C$13*12),0,IF('Analysis'!$C$12=0,'Analysis'!$G$21/('Analysis'!$C$13*12),'Analysis'!$G$21*(1+'Analysis'!$C$12/12)^-('Analysis'!$C$13*12-B542)*(1-(1+'Analysis'!$C$12/12)^-1)/(1-(1+'Analysis'!$C$12/12)^-('Analysis'!$C$13*12))))</x:f>
        <x:v>0</x:v>
      </x:c>
      <x:c r="H542" s="16" t="n">
        <x:f>IF(B542&gt;='Analysis'!$C$13*12,0,MAX(0,D542-G542))</x:f>
        <x:v>0</x:v>
      </x:c>
    </x:row>
    <x:row r="543" ht="22" customHeight="1">
      <x:c r="A543" s="2"/>
      <x:c r="B543" s="41" t="n">
        <x:f>538</x:f>
        <x:v>538</x:v>
      </x:c>
      <x:c r="C543" s="41" t="n">
        <x:f>ROUNDUP(B543/12,0)</x:f>
        <x:v>45</x:v>
      </x:c>
      <x:c r="D543" s="16" t="n">
        <x:f>H542</x:f>
        <x:v>0</x:v>
      </x:c>
      <x:c r="E543" s="32" t="n">
        <x:f>IF(B543&gt;'Analysis'!$C$13*12,0,'Analysis'!$G$22)</x:f>
        <x:v>0</x:v>
      </x:c>
      <x:c r="F543" s="32" t="n">
        <x:f>MAX(0,E543-G543)</x:f>
        <x:v>0</x:v>
      </x:c>
      <x:c r="G543" s="16" t="n">
        <x:f>IF(OR('Analysis'!$G$21=0,B543&gt;'Analysis'!$C$13*12),0,IF('Analysis'!$C$12=0,'Analysis'!$G$21/('Analysis'!$C$13*12),'Analysis'!$G$21*(1+'Analysis'!$C$12/12)^-('Analysis'!$C$13*12-B543)*(1-(1+'Analysis'!$C$12/12)^-1)/(1-(1+'Analysis'!$C$12/12)^-('Analysis'!$C$13*12))))</x:f>
        <x:v>0</x:v>
      </x:c>
      <x:c r="H543" s="16" t="n">
        <x:f>IF(B543&gt;='Analysis'!$C$13*12,0,MAX(0,D543-G543))</x:f>
        <x:v>0</x:v>
      </x:c>
    </x:row>
    <x:row r="544" ht="22" customHeight="1">
      <x:c r="A544" s="2"/>
      <x:c r="B544" s="41" t="n">
        <x:f>539</x:f>
        <x:v>539</x:v>
      </x:c>
      <x:c r="C544" s="41" t="n">
        <x:f>ROUNDUP(B544/12,0)</x:f>
        <x:v>45</x:v>
      </x:c>
      <x:c r="D544" s="16" t="n">
        <x:f>H543</x:f>
        <x:v>0</x:v>
      </x:c>
      <x:c r="E544" s="32" t="n">
        <x:f>IF(B544&gt;'Analysis'!$C$13*12,0,'Analysis'!$G$22)</x:f>
        <x:v>0</x:v>
      </x:c>
      <x:c r="F544" s="32" t="n">
        <x:f>MAX(0,E544-G544)</x:f>
        <x:v>0</x:v>
      </x:c>
      <x:c r="G544" s="16" t="n">
        <x:f>IF(OR('Analysis'!$G$21=0,B544&gt;'Analysis'!$C$13*12),0,IF('Analysis'!$C$12=0,'Analysis'!$G$21/('Analysis'!$C$13*12),'Analysis'!$G$21*(1+'Analysis'!$C$12/12)^-('Analysis'!$C$13*12-B544)*(1-(1+'Analysis'!$C$12/12)^-1)/(1-(1+'Analysis'!$C$12/12)^-('Analysis'!$C$13*12))))</x:f>
        <x:v>0</x:v>
      </x:c>
      <x:c r="H544" s="16" t="n">
        <x:f>IF(B544&gt;='Analysis'!$C$13*12,0,MAX(0,D544-G544))</x:f>
        <x:v>0</x:v>
      </x:c>
    </x:row>
    <x:row r="545" ht="22" customHeight="1">
      <x:c r="A545" s="2"/>
      <x:c r="B545" s="41" t="n">
        <x:f>540</x:f>
        <x:v>540</x:v>
      </x:c>
      <x:c r="C545" s="41" t="n">
        <x:f>ROUNDUP(B545/12,0)</x:f>
        <x:v>45</x:v>
      </x:c>
      <x:c r="D545" s="16" t="n">
        <x:f>H544</x:f>
        <x:v>0</x:v>
      </x:c>
      <x:c r="E545" s="32" t="n">
        <x:f>IF(B545&gt;'Analysis'!$C$13*12,0,'Analysis'!$G$22)</x:f>
        <x:v>0</x:v>
      </x:c>
      <x:c r="F545" s="32" t="n">
        <x:f>MAX(0,E545-G545)</x:f>
        <x:v>0</x:v>
      </x:c>
      <x:c r="G545" s="16" t="n">
        <x:f>IF(OR('Analysis'!$G$21=0,B545&gt;'Analysis'!$C$13*12),0,IF('Analysis'!$C$12=0,'Analysis'!$G$21/('Analysis'!$C$13*12),'Analysis'!$G$21*(1+'Analysis'!$C$12/12)^-('Analysis'!$C$13*12-B545)*(1-(1+'Analysis'!$C$12/12)^-1)/(1-(1+'Analysis'!$C$12/12)^-('Analysis'!$C$13*12))))</x:f>
        <x:v>0</x:v>
      </x:c>
      <x:c r="H545" s="16" t="n">
        <x:f>IF(B545&gt;='Analysis'!$C$13*12,0,MAX(0,D545-G545))</x:f>
        <x:v>0</x:v>
      </x:c>
    </x:row>
    <x:row r="546" ht="22" customHeight="1">
      <x:c r="A546" s="2"/>
      <x:c r="B546" s="41" t="n">
        <x:f>541</x:f>
        <x:v>541</x:v>
      </x:c>
      <x:c r="C546" s="41" t="n">
        <x:f>ROUNDUP(B546/12,0)</x:f>
        <x:v>46</x:v>
      </x:c>
      <x:c r="D546" s="16" t="n">
        <x:f>H545</x:f>
        <x:v>0</x:v>
      </x:c>
      <x:c r="E546" s="32" t="n">
        <x:f>IF(B546&gt;'Analysis'!$C$13*12,0,'Analysis'!$G$22)</x:f>
        <x:v>0</x:v>
      </x:c>
      <x:c r="F546" s="32" t="n">
        <x:f>MAX(0,E546-G546)</x:f>
        <x:v>0</x:v>
      </x:c>
      <x:c r="G546" s="16" t="n">
        <x:f>IF(OR('Analysis'!$G$21=0,B546&gt;'Analysis'!$C$13*12),0,IF('Analysis'!$C$12=0,'Analysis'!$G$21/('Analysis'!$C$13*12),'Analysis'!$G$21*(1+'Analysis'!$C$12/12)^-('Analysis'!$C$13*12-B546)*(1-(1+'Analysis'!$C$12/12)^-1)/(1-(1+'Analysis'!$C$12/12)^-('Analysis'!$C$13*12))))</x:f>
        <x:v>0</x:v>
      </x:c>
      <x:c r="H546" s="16" t="n">
        <x:f>IF(B546&gt;='Analysis'!$C$13*12,0,MAX(0,D546-G546))</x:f>
        <x:v>0</x:v>
      </x:c>
    </x:row>
    <x:row r="547" ht="22" customHeight="1">
      <x:c r="A547" s="2"/>
      <x:c r="B547" s="41" t="n">
        <x:f>542</x:f>
        <x:v>542</x:v>
      </x:c>
      <x:c r="C547" s="41" t="n">
        <x:f>ROUNDUP(B547/12,0)</x:f>
        <x:v>46</x:v>
      </x:c>
      <x:c r="D547" s="16" t="n">
        <x:f>H546</x:f>
        <x:v>0</x:v>
      </x:c>
      <x:c r="E547" s="32" t="n">
        <x:f>IF(B547&gt;'Analysis'!$C$13*12,0,'Analysis'!$G$22)</x:f>
        <x:v>0</x:v>
      </x:c>
      <x:c r="F547" s="32" t="n">
        <x:f>MAX(0,E547-G547)</x:f>
        <x:v>0</x:v>
      </x:c>
      <x:c r="G547" s="16" t="n">
        <x:f>IF(OR('Analysis'!$G$21=0,B547&gt;'Analysis'!$C$13*12),0,IF('Analysis'!$C$12=0,'Analysis'!$G$21/('Analysis'!$C$13*12),'Analysis'!$G$21*(1+'Analysis'!$C$12/12)^-('Analysis'!$C$13*12-B547)*(1-(1+'Analysis'!$C$12/12)^-1)/(1-(1+'Analysis'!$C$12/12)^-('Analysis'!$C$13*12))))</x:f>
        <x:v>0</x:v>
      </x:c>
      <x:c r="H547" s="16" t="n">
        <x:f>IF(B547&gt;='Analysis'!$C$13*12,0,MAX(0,D547-G547))</x:f>
        <x:v>0</x:v>
      </x:c>
    </x:row>
    <x:row r="548" ht="22" customHeight="1">
      <x:c r="A548" s="2"/>
      <x:c r="B548" s="41" t="n">
        <x:f>543</x:f>
        <x:v>543</x:v>
      </x:c>
      <x:c r="C548" s="41" t="n">
        <x:f>ROUNDUP(B548/12,0)</x:f>
        <x:v>46</x:v>
      </x:c>
      <x:c r="D548" s="16" t="n">
        <x:f>H547</x:f>
        <x:v>0</x:v>
      </x:c>
      <x:c r="E548" s="32" t="n">
        <x:f>IF(B548&gt;'Analysis'!$C$13*12,0,'Analysis'!$G$22)</x:f>
        <x:v>0</x:v>
      </x:c>
      <x:c r="F548" s="32" t="n">
        <x:f>MAX(0,E548-G548)</x:f>
        <x:v>0</x:v>
      </x:c>
      <x:c r="G548" s="16" t="n">
        <x:f>IF(OR('Analysis'!$G$21=0,B548&gt;'Analysis'!$C$13*12),0,IF('Analysis'!$C$12=0,'Analysis'!$G$21/('Analysis'!$C$13*12),'Analysis'!$G$21*(1+'Analysis'!$C$12/12)^-('Analysis'!$C$13*12-B548)*(1-(1+'Analysis'!$C$12/12)^-1)/(1-(1+'Analysis'!$C$12/12)^-('Analysis'!$C$13*12))))</x:f>
        <x:v>0</x:v>
      </x:c>
      <x:c r="H548" s="16" t="n">
        <x:f>IF(B548&gt;='Analysis'!$C$13*12,0,MAX(0,D548-G548))</x:f>
        <x:v>0</x:v>
      </x:c>
    </x:row>
    <x:row r="549" ht="22" customHeight="1">
      <x:c r="A549" s="2"/>
      <x:c r="B549" s="41" t="n">
        <x:f>544</x:f>
        <x:v>544</x:v>
      </x:c>
      <x:c r="C549" s="41" t="n">
        <x:f>ROUNDUP(B549/12,0)</x:f>
        <x:v>46</x:v>
      </x:c>
      <x:c r="D549" s="16" t="n">
        <x:f>H548</x:f>
        <x:v>0</x:v>
      </x:c>
      <x:c r="E549" s="32" t="n">
        <x:f>IF(B549&gt;'Analysis'!$C$13*12,0,'Analysis'!$G$22)</x:f>
        <x:v>0</x:v>
      </x:c>
      <x:c r="F549" s="32" t="n">
        <x:f>MAX(0,E549-G549)</x:f>
        <x:v>0</x:v>
      </x:c>
      <x:c r="G549" s="16" t="n">
        <x:f>IF(OR('Analysis'!$G$21=0,B549&gt;'Analysis'!$C$13*12),0,IF('Analysis'!$C$12=0,'Analysis'!$G$21/('Analysis'!$C$13*12),'Analysis'!$G$21*(1+'Analysis'!$C$12/12)^-('Analysis'!$C$13*12-B549)*(1-(1+'Analysis'!$C$12/12)^-1)/(1-(1+'Analysis'!$C$12/12)^-('Analysis'!$C$13*12))))</x:f>
        <x:v>0</x:v>
      </x:c>
      <x:c r="H549" s="16" t="n">
        <x:f>IF(B549&gt;='Analysis'!$C$13*12,0,MAX(0,D549-G549))</x:f>
        <x:v>0</x:v>
      </x:c>
    </x:row>
    <x:row r="550" ht="22" customHeight="1">
      <x:c r="A550" s="2"/>
      <x:c r="B550" s="41" t="n">
        <x:f>545</x:f>
        <x:v>545</x:v>
      </x:c>
      <x:c r="C550" s="41" t="n">
        <x:f>ROUNDUP(B550/12,0)</x:f>
        <x:v>46</x:v>
      </x:c>
      <x:c r="D550" s="16" t="n">
        <x:f>H549</x:f>
        <x:v>0</x:v>
      </x:c>
      <x:c r="E550" s="32" t="n">
        <x:f>IF(B550&gt;'Analysis'!$C$13*12,0,'Analysis'!$G$22)</x:f>
        <x:v>0</x:v>
      </x:c>
      <x:c r="F550" s="32" t="n">
        <x:f>MAX(0,E550-G550)</x:f>
        <x:v>0</x:v>
      </x:c>
      <x:c r="G550" s="16" t="n">
        <x:f>IF(OR('Analysis'!$G$21=0,B550&gt;'Analysis'!$C$13*12),0,IF('Analysis'!$C$12=0,'Analysis'!$G$21/('Analysis'!$C$13*12),'Analysis'!$G$21*(1+'Analysis'!$C$12/12)^-('Analysis'!$C$13*12-B550)*(1-(1+'Analysis'!$C$12/12)^-1)/(1-(1+'Analysis'!$C$12/12)^-('Analysis'!$C$13*12))))</x:f>
        <x:v>0</x:v>
      </x:c>
      <x:c r="H550" s="16" t="n">
        <x:f>IF(B550&gt;='Analysis'!$C$13*12,0,MAX(0,D550-G550))</x:f>
        <x:v>0</x:v>
      </x:c>
    </x:row>
    <x:row r="551" ht="22" customHeight="1">
      <x:c r="A551" s="2"/>
      <x:c r="B551" s="41" t="n">
        <x:f>546</x:f>
        <x:v>546</x:v>
      </x:c>
      <x:c r="C551" s="41" t="n">
        <x:f>ROUNDUP(B551/12,0)</x:f>
        <x:v>46</x:v>
      </x:c>
      <x:c r="D551" s="16" t="n">
        <x:f>H550</x:f>
        <x:v>0</x:v>
      </x:c>
      <x:c r="E551" s="32" t="n">
        <x:f>IF(B551&gt;'Analysis'!$C$13*12,0,'Analysis'!$G$22)</x:f>
        <x:v>0</x:v>
      </x:c>
      <x:c r="F551" s="32" t="n">
        <x:f>MAX(0,E551-G551)</x:f>
        <x:v>0</x:v>
      </x:c>
      <x:c r="G551" s="16" t="n">
        <x:f>IF(OR('Analysis'!$G$21=0,B551&gt;'Analysis'!$C$13*12),0,IF('Analysis'!$C$12=0,'Analysis'!$G$21/('Analysis'!$C$13*12),'Analysis'!$G$21*(1+'Analysis'!$C$12/12)^-('Analysis'!$C$13*12-B551)*(1-(1+'Analysis'!$C$12/12)^-1)/(1-(1+'Analysis'!$C$12/12)^-('Analysis'!$C$13*12))))</x:f>
        <x:v>0</x:v>
      </x:c>
      <x:c r="H551" s="16" t="n">
        <x:f>IF(B551&gt;='Analysis'!$C$13*12,0,MAX(0,D551-G551))</x:f>
        <x:v>0</x:v>
      </x:c>
    </x:row>
    <x:row r="552" ht="22" customHeight="1">
      <x:c r="A552" s="2"/>
      <x:c r="B552" s="41" t="n">
        <x:f>547</x:f>
        <x:v>547</x:v>
      </x:c>
      <x:c r="C552" s="41" t="n">
        <x:f>ROUNDUP(B552/12,0)</x:f>
        <x:v>46</x:v>
      </x:c>
      <x:c r="D552" s="16" t="n">
        <x:f>H551</x:f>
        <x:v>0</x:v>
      </x:c>
      <x:c r="E552" s="32" t="n">
        <x:f>IF(B552&gt;'Analysis'!$C$13*12,0,'Analysis'!$G$22)</x:f>
        <x:v>0</x:v>
      </x:c>
      <x:c r="F552" s="32" t="n">
        <x:f>MAX(0,E552-G552)</x:f>
        <x:v>0</x:v>
      </x:c>
      <x:c r="G552" s="16" t="n">
        <x:f>IF(OR('Analysis'!$G$21=0,B552&gt;'Analysis'!$C$13*12),0,IF('Analysis'!$C$12=0,'Analysis'!$G$21/('Analysis'!$C$13*12),'Analysis'!$G$21*(1+'Analysis'!$C$12/12)^-('Analysis'!$C$13*12-B552)*(1-(1+'Analysis'!$C$12/12)^-1)/(1-(1+'Analysis'!$C$12/12)^-('Analysis'!$C$13*12))))</x:f>
        <x:v>0</x:v>
      </x:c>
      <x:c r="H552" s="16" t="n">
        <x:f>IF(B552&gt;='Analysis'!$C$13*12,0,MAX(0,D552-G552))</x:f>
        <x:v>0</x:v>
      </x:c>
    </x:row>
    <x:row r="553" ht="22" customHeight="1">
      <x:c r="A553" s="2"/>
      <x:c r="B553" s="41" t="n">
        <x:f>548</x:f>
        <x:v>548</x:v>
      </x:c>
      <x:c r="C553" s="41" t="n">
        <x:f>ROUNDUP(B553/12,0)</x:f>
        <x:v>46</x:v>
      </x:c>
      <x:c r="D553" s="16" t="n">
        <x:f>H552</x:f>
        <x:v>0</x:v>
      </x:c>
      <x:c r="E553" s="32" t="n">
        <x:f>IF(B553&gt;'Analysis'!$C$13*12,0,'Analysis'!$G$22)</x:f>
        <x:v>0</x:v>
      </x:c>
      <x:c r="F553" s="32" t="n">
        <x:f>MAX(0,E553-G553)</x:f>
        <x:v>0</x:v>
      </x:c>
      <x:c r="G553" s="16" t="n">
        <x:f>IF(OR('Analysis'!$G$21=0,B553&gt;'Analysis'!$C$13*12),0,IF('Analysis'!$C$12=0,'Analysis'!$G$21/('Analysis'!$C$13*12),'Analysis'!$G$21*(1+'Analysis'!$C$12/12)^-('Analysis'!$C$13*12-B553)*(1-(1+'Analysis'!$C$12/12)^-1)/(1-(1+'Analysis'!$C$12/12)^-('Analysis'!$C$13*12))))</x:f>
        <x:v>0</x:v>
      </x:c>
      <x:c r="H553" s="16" t="n">
        <x:f>IF(B553&gt;='Analysis'!$C$13*12,0,MAX(0,D553-G553))</x:f>
        <x:v>0</x:v>
      </x:c>
    </x:row>
    <x:row r="554" ht="22" customHeight="1">
      <x:c r="A554" s="2"/>
      <x:c r="B554" s="41" t="n">
        <x:f>549</x:f>
        <x:v>549</x:v>
      </x:c>
      <x:c r="C554" s="41" t="n">
        <x:f>ROUNDUP(B554/12,0)</x:f>
        <x:v>46</x:v>
      </x:c>
      <x:c r="D554" s="16" t="n">
        <x:f>H553</x:f>
        <x:v>0</x:v>
      </x:c>
      <x:c r="E554" s="32" t="n">
        <x:f>IF(B554&gt;'Analysis'!$C$13*12,0,'Analysis'!$G$22)</x:f>
        <x:v>0</x:v>
      </x:c>
      <x:c r="F554" s="32" t="n">
        <x:f>MAX(0,E554-G554)</x:f>
        <x:v>0</x:v>
      </x:c>
      <x:c r="G554" s="16" t="n">
        <x:f>IF(OR('Analysis'!$G$21=0,B554&gt;'Analysis'!$C$13*12),0,IF('Analysis'!$C$12=0,'Analysis'!$G$21/('Analysis'!$C$13*12),'Analysis'!$G$21*(1+'Analysis'!$C$12/12)^-('Analysis'!$C$13*12-B554)*(1-(1+'Analysis'!$C$12/12)^-1)/(1-(1+'Analysis'!$C$12/12)^-('Analysis'!$C$13*12))))</x:f>
        <x:v>0</x:v>
      </x:c>
      <x:c r="H554" s="16" t="n">
        <x:f>IF(B554&gt;='Analysis'!$C$13*12,0,MAX(0,D554-G554))</x:f>
        <x:v>0</x:v>
      </x:c>
    </x:row>
    <x:row r="555" ht="22" customHeight="1">
      <x:c r="A555" s="2"/>
      <x:c r="B555" s="41" t="n">
        <x:f>550</x:f>
        <x:v>550</x:v>
      </x:c>
      <x:c r="C555" s="41" t="n">
        <x:f>ROUNDUP(B555/12,0)</x:f>
        <x:v>46</x:v>
      </x:c>
      <x:c r="D555" s="16" t="n">
        <x:f>H554</x:f>
        <x:v>0</x:v>
      </x:c>
      <x:c r="E555" s="32" t="n">
        <x:f>IF(B555&gt;'Analysis'!$C$13*12,0,'Analysis'!$G$22)</x:f>
        <x:v>0</x:v>
      </x:c>
      <x:c r="F555" s="32" t="n">
        <x:f>MAX(0,E555-G555)</x:f>
        <x:v>0</x:v>
      </x:c>
      <x:c r="G555" s="16" t="n">
        <x:f>IF(OR('Analysis'!$G$21=0,B555&gt;'Analysis'!$C$13*12),0,IF('Analysis'!$C$12=0,'Analysis'!$G$21/('Analysis'!$C$13*12),'Analysis'!$G$21*(1+'Analysis'!$C$12/12)^-('Analysis'!$C$13*12-B555)*(1-(1+'Analysis'!$C$12/12)^-1)/(1-(1+'Analysis'!$C$12/12)^-('Analysis'!$C$13*12))))</x:f>
        <x:v>0</x:v>
      </x:c>
      <x:c r="H555" s="16" t="n">
        <x:f>IF(B555&gt;='Analysis'!$C$13*12,0,MAX(0,D555-G555))</x:f>
        <x:v>0</x:v>
      </x:c>
    </x:row>
    <x:row r="556" ht="22" customHeight="1">
      <x:c r="A556" s="2"/>
      <x:c r="B556" s="41" t="n">
        <x:f>551</x:f>
        <x:v>551</x:v>
      </x:c>
      <x:c r="C556" s="41" t="n">
        <x:f>ROUNDUP(B556/12,0)</x:f>
        <x:v>46</x:v>
      </x:c>
      <x:c r="D556" s="16" t="n">
        <x:f>H555</x:f>
        <x:v>0</x:v>
      </x:c>
      <x:c r="E556" s="32" t="n">
        <x:f>IF(B556&gt;'Analysis'!$C$13*12,0,'Analysis'!$G$22)</x:f>
        <x:v>0</x:v>
      </x:c>
      <x:c r="F556" s="32" t="n">
        <x:f>MAX(0,E556-G556)</x:f>
        <x:v>0</x:v>
      </x:c>
      <x:c r="G556" s="16" t="n">
        <x:f>IF(OR('Analysis'!$G$21=0,B556&gt;'Analysis'!$C$13*12),0,IF('Analysis'!$C$12=0,'Analysis'!$G$21/('Analysis'!$C$13*12),'Analysis'!$G$21*(1+'Analysis'!$C$12/12)^-('Analysis'!$C$13*12-B556)*(1-(1+'Analysis'!$C$12/12)^-1)/(1-(1+'Analysis'!$C$12/12)^-('Analysis'!$C$13*12))))</x:f>
        <x:v>0</x:v>
      </x:c>
      <x:c r="H556" s="16" t="n">
        <x:f>IF(B556&gt;='Analysis'!$C$13*12,0,MAX(0,D556-G556))</x:f>
        <x:v>0</x:v>
      </x:c>
    </x:row>
    <x:row r="557" ht="22" customHeight="1">
      <x:c r="A557" s="2"/>
      <x:c r="B557" s="41" t="n">
        <x:f>552</x:f>
        <x:v>552</x:v>
      </x:c>
      <x:c r="C557" s="41" t="n">
        <x:f>ROUNDUP(B557/12,0)</x:f>
        <x:v>46</x:v>
      </x:c>
      <x:c r="D557" s="16" t="n">
        <x:f>H556</x:f>
        <x:v>0</x:v>
      </x:c>
      <x:c r="E557" s="32" t="n">
        <x:f>IF(B557&gt;'Analysis'!$C$13*12,0,'Analysis'!$G$22)</x:f>
        <x:v>0</x:v>
      </x:c>
      <x:c r="F557" s="32" t="n">
        <x:f>MAX(0,E557-G557)</x:f>
        <x:v>0</x:v>
      </x:c>
      <x:c r="G557" s="16" t="n">
        <x:f>IF(OR('Analysis'!$G$21=0,B557&gt;'Analysis'!$C$13*12),0,IF('Analysis'!$C$12=0,'Analysis'!$G$21/('Analysis'!$C$13*12),'Analysis'!$G$21*(1+'Analysis'!$C$12/12)^-('Analysis'!$C$13*12-B557)*(1-(1+'Analysis'!$C$12/12)^-1)/(1-(1+'Analysis'!$C$12/12)^-('Analysis'!$C$13*12))))</x:f>
        <x:v>0</x:v>
      </x:c>
      <x:c r="H557" s="16" t="n">
        <x:f>IF(B557&gt;='Analysis'!$C$13*12,0,MAX(0,D557-G557))</x:f>
        <x:v>0</x:v>
      </x:c>
    </x:row>
    <x:row r="558" ht="22" customHeight="1">
      <x:c r="A558" s="2"/>
      <x:c r="B558" s="41" t="n">
        <x:f>553</x:f>
        <x:v>553</x:v>
      </x:c>
      <x:c r="C558" s="41" t="n">
        <x:f>ROUNDUP(B558/12,0)</x:f>
        <x:v>47</x:v>
      </x:c>
      <x:c r="D558" s="16" t="n">
        <x:f>H557</x:f>
        <x:v>0</x:v>
      </x:c>
      <x:c r="E558" s="32" t="n">
        <x:f>IF(B558&gt;'Analysis'!$C$13*12,0,'Analysis'!$G$22)</x:f>
        <x:v>0</x:v>
      </x:c>
      <x:c r="F558" s="32" t="n">
        <x:f>MAX(0,E558-G558)</x:f>
        <x:v>0</x:v>
      </x:c>
      <x:c r="G558" s="16" t="n">
        <x:f>IF(OR('Analysis'!$G$21=0,B558&gt;'Analysis'!$C$13*12),0,IF('Analysis'!$C$12=0,'Analysis'!$G$21/('Analysis'!$C$13*12),'Analysis'!$G$21*(1+'Analysis'!$C$12/12)^-('Analysis'!$C$13*12-B558)*(1-(1+'Analysis'!$C$12/12)^-1)/(1-(1+'Analysis'!$C$12/12)^-('Analysis'!$C$13*12))))</x:f>
        <x:v>0</x:v>
      </x:c>
      <x:c r="H558" s="16" t="n">
        <x:f>IF(B558&gt;='Analysis'!$C$13*12,0,MAX(0,D558-G558))</x:f>
        <x:v>0</x:v>
      </x:c>
    </x:row>
    <x:row r="559" ht="22" customHeight="1">
      <x:c r="A559" s="2"/>
      <x:c r="B559" s="41" t="n">
        <x:f>554</x:f>
        <x:v>554</x:v>
      </x:c>
      <x:c r="C559" s="41" t="n">
        <x:f>ROUNDUP(B559/12,0)</x:f>
        <x:v>47</x:v>
      </x:c>
      <x:c r="D559" s="16" t="n">
        <x:f>H558</x:f>
        <x:v>0</x:v>
      </x:c>
      <x:c r="E559" s="32" t="n">
        <x:f>IF(B559&gt;'Analysis'!$C$13*12,0,'Analysis'!$G$22)</x:f>
        <x:v>0</x:v>
      </x:c>
      <x:c r="F559" s="32" t="n">
        <x:f>MAX(0,E559-G559)</x:f>
        <x:v>0</x:v>
      </x:c>
      <x:c r="G559" s="16" t="n">
        <x:f>IF(OR('Analysis'!$G$21=0,B559&gt;'Analysis'!$C$13*12),0,IF('Analysis'!$C$12=0,'Analysis'!$G$21/('Analysis'!$C$13*12),'Analysis'!$G$21*(1+'Analysis'!$C$12/12)^-('Analysis'!$C$13*12-B559)*(1-(1+'Analysis'!$C$12/12)^-1)/(1-(1+'Analysis'!$C$12/12)^-('Analysis'!$C$13*12))))</x:f>
        <x:v>0</x:v>
      </x:c>
      <x:c r="H559" s="16" t="n">
        <x:f>IF(B559&gt;='Analysis'!$C$13*12,0,MAX(0,D559-G559))</x:f>
        <x:v>0</x:v>
      </x:c>
    </x:row>
    <x:row r="560" ht="22" customHeight="1">
      <x:c r="A560" s="2"/>
      <x:c r="B560" s="41" t="n">
        <x:f>555</x:f>
        <x:v>555</x:v>
      </x:c>
      <x:c r="C560" s="41" t="n">
        <x:f>ROUNDUP(B560/12,0)</x:f>
        <x:v>47</x:v>
      </x:c>
      <x:c r="D560" s="16" t="n">
        <x:f>H559</x:f>
        <x:v>0</x:v>
      </x:c>
      <x:c r="E560" s="32" t="n">
        <x:f>IF(B560&gt;'Analysis'!$C$13*12,0,'Analysis'!$G$22)</x:f>
        <x:v>0</x:v>
      </x:c>
      <x:c r="F560" s="32" t="n">
        <x:f>MAX(0,E560-G560)</x:f>
        <x:v>0</x:v>
      </x:c>
      <x:c r="G560" s="16" t="n">
        <x:f>IF(OR('Analysis'!$G$21=0,B560&gt;'Analysis'!$C$13*12),0,IF('Analysis'!$C$12=0,'Analysis'!$G$21/('Analysis'!$C$13*12),'Analysis'!$G$21*(1+'Analysis'!$C$12/12)^-('Analysis'!$C$13*12-B560)*(1-(1+'Analysis'!$C$12/12)^-1)/(1-(1+'Analysis'!$C$12/12)^-('Analysis'!$C$13*12))))</x:f>
        <x:v>0</x:v>
      </x:c>
      <x:c r="H560" s="16" t="n">
        <x:f>IF(B560&gt;='Analysis'!$C$13*12,0,MAX(0,D560-G560))</x:f>
        <x:v>0</x:v>
      </x:c>
    </x:row>
    <x:row r="561" ht="22" customHeight="1">
      <x:c r="A561" s="2"/>
      <x:c r="B561" s="41" t="n">
        <x:f>556</x:f>
        <x:v>556</x:v>
      </x:c>
      <x:c r="C561" s="41" t="n">
        <x:f>ROUNDUP(B561/12,0)</x:f>
        <x:v>47</x:v>
      </x:c>
      <x:c r="D561" s="16" t="n">
        <x:f>H560</x:f>
        <x:v>0</x:v>
      </x:c>
      <x:c r="E561" s="32" t="n">
        <x:f>IF(B561&gt;'Analysis'!$C$13*12,0,'Analysis'!$G$22)</x:f>
        <x:v>0</x:v>
      </x:c>
      <x:c r="F561" s="32" t="n">
        <x:f>MAX(0,E561-G561)</x:f>
        <x:v>0</x:v>
      </x:c>
      <x:c r="G561" s="16" t="n">
        <x:f>IF(OR('Analysis'!$G$21=0,B561&gt;'Analysis'!$C$13*12),0,IF('Analysis'!$C$12=0,'Analysis'!$G$21/('Analysis'!$C$13*12),'Analysis'!$G$21*(1+'Analysis'!$C$12/12)^-('Analysis'!$C$13*12-B561)*(1-(1+'Analysis'!$C$12/12)^-1)/(1-(1+'Analysis'!$C$12/12)^-('Analysis'!$C$13*12))))</x:f>
        <x:v>0</x:v>
      </x:c>
      <x:c r="H561" s="16" t="n">
        <x:f>IF(B561&gt;='Analysis'!$C$13*12,0,MAX(0,D561-G561))</x:f>
        <x:v>0</x:v>
      </x:c>
    </x:row>
    <x:row r="562" ht="22" customHeight="1">
      <x:c r="A562" s="2"/>
      <x:c r="B562" s="41" t="n">
        <x:f>557</x:f>
        <x:v>557</x:v>
      </x:c>
      <x:c r="C562" s="41" t="n">
        <x:f>ROUNDUP(B562/12,0)</x:f>
        <x:v>47</x:v>
      </x:c>
      <x:c r="D562" s="16" t="n">
        <x:f>H561</x:f>
        <x:v>0</x:v>
      </x:c>
      <x:c r="E562" s="32" t="n">
        <x:f>IF(B562&gt;'Analysis'!$C$13*12,0,'Analysis'!$G$22)</x:f>
        <x:v>0</x:v>
      </x:c>
      <x:c r="F562" s="32" t="n">
        <x:f>MAX(0,E562-G562)</x:f>
        <x:v>0</x:v>
      </x:c>
      <x:c r="G562" s="16" t="n">
        <x:f>IF(OR('Analysis'!$G$21=0,B562&gt;'Analysis'!$C$13*12),0,IF('Analysis'!$C$12=0,'Analysis'!$G$21/('Analysis'!$C$13*12),'Analysis'!$G$21*(1+'Analysis'!$C$12/12)^-('Analysis'!$C$13*12-B562)*(1-(1+'Analysis'!$C$12/12)^-1)/(1-(1+'Analysis'!$C$12/12)^-('Analysis'!$C$13*12))))</x:f>
        <x:v>0</x:v>
      </x:c>
      <x:c r="H562" s="16" t="n">
        <x:f>IF(B562&gt;='Analysis'!$C$13*12,0,MAX(0,D562-G562))</x:f>
        <x:v>0</x:v>
      </x:c>
    </x:row>
    <x:row r="563" ht="22" customHeight="1">
      <x:c r="A563" s="2"/>
      <x:c r="B563" s="41" t="n">
        <x:f>558</x:f>
        <x:v>558</x:v>
      </x:c>
      <x:c r="C563" s="41" t="n">
        <x:f>ROUNDUP(B563/12,0)</x:f>
        <x:v>47</x:v>
      </x:c>
      <x:c r="D563" s="16" t="n">
        <x:f>H562</x:f>
        <x:v>0</x:v>
      </x:c>
      <x:c r="E563" s="32" t="n">
        <x:f>IF(B563&gt;'Analysis'!$C$13*12,0,'Analysis'!$G$22)</x:f>
        <x:v>0</x:v>
      </x:c>
      <x:c r="F563" s="32" t="n">
        <x:f>MAX(0,E563-G563)</x:f>
        <x:v>0</x:v>
      </x:c>
      <x:c r="G563" s="16" t="n">
        <x:f>IF(OR('Analysis'!$G$21=0,B563&gt;'Analysis'!$C$13*12),0,IF('Analysis'!$C$12=0,'Analysis'!$G$21/('Analysis'!$C$13*12),'Analysis'!$G$21*(1+'Analysis'!$C$12/12)^-('Analysis'!$C$13*12-B563)*(1-(1+'Analysis'!$C$12/12)^-1)/(1-(1+'Analysis'!$C$12/12)^-('Analysis'!$C$13*12))))</x:f>
        <x:v>0</x:v>
      </x:c>
      <x:c r="H563" s="16" t="n">
        <x:f>IF(B563&gt;='Analysis'!$C$13*12,0,MAX(0,D563-G563))</x:f>
        <x:v>0</x:v>
      </x:c>
    </x:row>
    <x:row r="564" ht="22" customHeight="1">
      <x:c r="A564" s="2"/>
      <x:c r="B564" s="41" t="n">
        <x:f>559</x:f>
        <x:v>559</x:v>
      </x:c>
      <x:c r="C564" s="41" t="n">
        <x:f>ROUNDUP(B564/12,0)</x:f>
        <x:v>47</x:v>
      </x:c>
      <x:c r="D564" s="16" t="n">
        <x:f>H563</x:f>
        <x:v>0</x:v>
      </x:c>
      <x:c r="E564" s="32" t="n">
        <x:f>IF(B564&gt;'Analysis'!$C$13*12,0,'Analysis'!$G$22)</x:f>
        <x:v>0</x:v>
      </x:c>
      <x:c r="F564" s="32" t="n">
        <x:f>MAX(0,E564-G564)</x:f>
        <x:v>0</x:v>
      </x:c>
      <x:c r="G564" s="16" t="n">
        <x:f>IF(OR('Analysis'!$G$21=0,B564&gt;'Analysis'!$C$13*12),0,IF('Analysis'!$C$12=0,'Analysis'!$G$21/('Analysis'!$C$13*12),'Analysis'!$G$21*(1+'Analysis'!$C$12/12)^-('Analysis'!$C$13*12-B564)*(1-(1+'Analysis'!$C$12/12)^-1)/(1-(1+'Analysis'!$C$12/12)^-('Analysis'!$C$13*12))))</x:f>
        <x:v>0</x:v>
      </x:c>
      <x:c r="H564" s="16" t="n">
        <x:f>IF(B564&gt;='Analysis'!$C$13*12,0,MAX(0,D564-G564))</x:f>
        <x:v>0</x:v>
      </x:c>
    </x:row>
    <x:row r="565" ht="22" customHeight="1">
      <x:c r="A565" s="2"/>
      <x:c r="B565" s="41" t="n">
        <x:f>560</x:f>
        <x:v>560</x:v>
      </x:c>
      <x:c r="C565" s="41" t="n">
        <x:f>ROUNDUP(B565/12,0)</x:f>
        <x:v>47</x:v>
      </x:c>
      <x:c r="D565" s="16" t="n">
        <x:f>H564</x:f>
        <x:v>0</x:v>
      </x:c>
      <x:c r="E565" s="32" t="n">
        <x:f>IF(B565&gt;'Analysis'!$C$13*12,0,'Analysis'!$G$22)</x:f>
        <x:v>0</x:v>
      </x:c>
      <x:c r="F565" s="32" t="n">
        <x:f>MAX(0,E565-G565)</x:f>
        <x:v>0</x:v>
      </x:c>
      <x:c r="G565" s="16" t="n">
        <x:f>IF(OR('Analysis'!$G$21=0,B565&gt;'Analysis'!$C$13*12),0,IF('Analysis'!$C$12=0,'Analysis'!$G$21/('Analysis'!$C$13*12),'Analysis'!$G$21*(1+'Analysis'!$C$12/12)^-('Analysis'!$C$13*12-B565)*(1-(1+'Analysis'!$C$12/12)^-1)/(1-(1+'Analysis'!$C$12/12)^-('Analysis'!$C$13*12))))</x:f>
        <x:v>0</x:v>
      </x:c>
      <x:c r="H565" s="16" t="n">
        <x:f>IF(B565&gt;='Analysis'!$C$13*12,0,MAX(0,D565-G565))</x:f>
        <x:v>0</x:v>
      </x:c>
    </x:row>
    <x:row r="566" ht="22" customHeight="1">
      <x:c r="A566" s="2"/>
      <x:c r="B566" s="41" t="n">
        <x:f>561</x:f>
        <x:v>561</x:v>
      </x:c>
      <x:c r="C566" s="41" t="n">
        <x:f>ROUNDUP(B566/12,0)</x:f>
        <x:v>47</x:v>
      </x:c>
      <x:c r="D566" s="16" t="n">
        <x:f>H565</x:f>
        <x:v>0</x:v>
      </x:c>
      <x:c r="E566" s="32" t="n">
        <x:f>IF(B566&gt;'Analysis'!$C$13*12,0,'Analysis'!$G$22)</x:f>
        <x:v>0</x:v>
      </x:c>
      <x:c r="F566" s="32" t="n">
        <x:f>MAX(0,E566-G566)</x:f>
        <x:v>0</x:v>
      </x:c>
      <x:c r="G566" s="16" t="n">
        <x:f>IF(OR('Analysis'!$G$21=0,B566&gt;'Analysis'!$C$13*12),0,IF('Analysis'!$C$12=0,'Analysis'!$G$21/('Analysis'!$C$13*12),'Analysis'!$G$21*(1+'Analysis'!$C$12/12)^-('Analysis'!$C$13*12-B566)*(1-(1+'Analysis'!$C$12/12)^-1)/(1-(1+'Analysis'!$C$12/12)^-('Analysis'!$C$13*12))))</x:f>
        <x:v>0</x:v>
      </x:c>
      <x:c r="H566" s="16" t="n">
        <x:f>IF(B566&gt;='Analysis'!$C$13*12,0,MAX(0,D566-G566))</x:f>
        <x:v>0</x:v>
      </x:c>
    </x:row>
    <x:row r="567" ht="22" customHeight="1">
      <x:c r="A567" s="2"/>
      <x:c r="B567" s="41" t="n">
        <x:f>562</x:f>
        <x:v>562</x:v>
      </x:c>
      <x:c r="C567" s="41" t="n">
        <x:f>ROUNDUP(B567/12,0)</x:f>
        <x:v>47</x:v>
      </x:c>
      <x:c r="D567" s="16" t="n">
        <x:f>H566</x:f>
        <x:v>0</x:v>
      </x:c>
      <x:c r="E567" s="32" t="n">
        <x:f>IF(B567&gt;'Analysis'!$C$13*12,0,'Analysis'!$G$22)</x:f>
        <x:v>0</x:v>
      </x:c>
      <x:c r="F567" s="32" t="n">
        <x:f>MAX(0,E567-G567)</x:f>
        <x:v>0</x:v>
      </x:c>
      <x:c r="G567" s="16" t="n">
        <x:f>IF(OR('Analysis'!$G$21=0,B567&gt;'Analysis'!$C$13*12),0,IF('Analysis'!$C$12=0,'Analysis'!$G$21/('Analysis'!$C$13*12),'Analysis'!$G$21*(1+'Analysis'!$C$12/12)^-('Analysis'!$C$13*12-B567)*(1-(1+'Analysis'!$C$12/12)^-1)/(1-(1+'Analysis'!$C$12/12)^-('Analysis'!$C$13*12))))</x:f>
        <x:v>0</x:v>
      </x:c>
      <x:c r="H567" s="16" t="n">
        <x:f>IF(B567&gt;='Analysis'!$C$13*12,0,MAX(0,D567-G567))</x:f>
        <x:v>0</x:v>
      </x:c>
    </x:row>
    <x:row r="568" ht="22" customHeight="1">
      <x:c r="A568" s="2"/>
      <x:c r="B568" s="41" t="n">
        <x:f>563</x:f>
        <x:v>563</x:v>
      </x:c>
      <x:c r="C568" s="41" t="n">
        <x:f>ROUNDUP(B568/12,0)</x:f>
        <x:v>47</x:v>
      </x:c>
      <x:c r="D568" s="16" t="n">
        <x:f>H567</x:f>
        <x:v>0</x:v>
      </x:c>
      <x:c r="E568" s="32" t="n">
        <x:f>IF(B568&gt;'Analysis'!$C$13*12,0,'Analysis'!$G$22)</x:f>
        <x:v>0</x:v>
      </x:c>
      <x:c r="F568" s="32" t="n">
        <x:f>MAX(0,E568-G568)</x:f>
        <x:v>0</x:v>
      </x:c>
      <x:c r="G568" s="16" t="n">
        <x:f>IF(OR('Analysis'!$G$21=0,B568&gt;'Analysis'!$C$13*12),0,IF('Analysis'!$C$12=0,'Analysis'!$G$21/('Analysis'!$C$13*12),'Analysis'!$G$21*(1+'Analysis'!$C$12/12)^-('Analysis'!$C$13*12-B568)*(1-(1+'Analysis'!$C$12/12)^-1)/(1-(1+'Analysis'!$C$12/12)^-('Analysis'!$C$13*12))))</x:f>
        <x:v>0</x:v>
      </x:c>
      <x:c r="H568" s="16" t="n">
        <x:f>IF(B568&gt;='Analysis'!$C$13*12,0,MAX(0,D568-G568))</x:f>
        <x:v>0</x:v>
      </x:c>
    </x:row>
    <x:row r="569" ht="22" customHeight="1">
      <x:c r="A569" s="2"/>
      <x:c r="B569" s="41" t="n">
        <x:f>564</x:f>
        <x:v>564</x:v>
      </x:c>
      <x:c r="C569" s="41" t="n">
        <x:f>ROUNDUP(B569/12,0)</x:f>
        <x:v>47</x:v>
      </x:c>
      <x:c r="D569" s="16" t="n">
        <x:f>H568</x:f>
        <x:v>0</x:v>
      </x:c>
      <x:c r="E569" s="32" t="n">
        <x:f>IF(B569&gt;'Analysis'!$C$13*12,0,'Analysis'!$G$22)</x:f>
        <x:v>0</x:v>
      </x:c>
      <x:c r="F569" s="32" t="n">
        <x:f>MAX(0,E569-G569)</x:f>
        <x:v>0</x:v>
      </x:c>
      <x:c r="G569" s="16" t="n">
        <x:f>IF(OR('Analysis'!$G$21=0,B569&gt;'Analysis'!$C$13*12),0,IF('Analysis'!$C$12=0,'Analysis'!$G$21/('Analysis'!$C$13*12),'Analysis'!$G$21*(1+'Analysis'!$C$12/12)^-('Analysis'!$C$13*12-B569)*(1-(1+'Analysis'!$C$12/12)^-1)/(1-(1+'Analysis'!$C$12/12)^-('Analysis'!$C$13*12))))</x:f>
        <x:v>0</x:v>
      </x:c>
      <x:c r="H569" s="16" t="n">
        <x:f>IF(B569&gt;='Analysis'!$C$13*12,0,MAX(0,D569-G569))</x:f>
        <x:v>0</x:v>
      </x:c>
    </x:row>
    <x:row r="570" ht="22" customHeight="1">
      <x:c r="A570" s="2"/>
      <x:c r="B570" s="41" t="n">
        <x:f>565</x:f>
        <x:v>565</x:v>
      </x:c>
      <x:c r="C570" s="41" t="n">
        <x:f>ROUNDUP(B570/12,0)</x:f>
        <x:v>48</x:v>
      </x:c>
      <x:c r="D570" s="16" t="n">
        <x:f>H569</x:f>
        <x:v>0</x:v>
      </x:c>
      <x:c r="E570" s="32" t="n">
        <x:f>IF(B570&gt;'Analysis'!$C$13*12,0,'Analysis'!$G$22)</x:f>
        <x:v>0</x:v>
      </x:c>
      <x:c r="F570" s="32" t="n">
        <x:f>MAX(0,E570-G570)</x:f>
        <x:v>0</x:v>
      </x:c>
      <x:c r="G570" s="16" t="n">
        <x:f>IF(OR('Analysis'!$G$21=0,B570&gt;'Analysis'!$C$13*12),0,IF('Analysis'!$C$12=0,'Analysis'!$G$21/('Analysis'!$C$13*12),'Analysis'!$G$21*(1+'Analysis'!$C$12/12)^-('Analysis'!$C$13*12-B570)*(1-(1+'Analysis'!$C$12/12)^-1)/(1-(1+'Analysis'!$C$12/12)^-('Analysis'!$C$13*12))))</x:f>
        <x:v>0</x:v>
      </x:c>
      <x:c r="H570" s="16" t="n">
        <x:f>IF(B570&gt;='Analysis'!$C$13*12,0,MAX(0,D570-G570))</x:f>
        <x:v>0</x:v>
      </x:c>
    </x:row>
    <x:row r="571" ht="22" customHeight="1">
      <x:c r="A571" s="2"/>
      <x:c r="B571" s="41" t="n">
        <x:f>566</x:f>
        <x:v>566</x:v>
      </x:c>
      <x:c r="C571" s="41" t="n">
        <x:f>ROUNDUP(B571/12,0)</x:f>
        <x:v>48</x:v>
      </x:c>
      <x:c r="D571" s="16" t="n">
        <x:f>H570</x:f>
        <x:v>0</x:v>
      </x:c>
      <x:c r="E571" s="32" t="n">
        <x:f>IF(B571&gt;'Analysis'!$C$13*12,0,'Analysis'!$G$22)</x:f>
        <x:v>0</x:v>
      </x:c>
      <x:c r="F571" s="32" t="n">
        <x:f>MAX(0,E571-G571)</x:f>
        <x:v>0</x:v>
      </x:c>
      <x:c r="G571" s="16" t="n">
        <x:f>IF(OR('Analysis'!$G$21=0,B571&gt;'Analysis'!$C$13*12),0,IF('Analysis'!$C$12=0,'Analysis'!$G$21/('Analysis'!$C$13*12),'Analysis'!$G$21*(1+'Analysis'!$C$12/12)^-('Analysis'!$C$13*12-B571)*(1-(1+'Analysis'!$C$12/12)^-1)/(1-(1+'Analysis'!$C$12/12)^-('Analysis'!$C$13*12))))</x:f>
        <x:v>0</x:v>
      </x:c>
      <x:c r="H571" s="16" t="n">
        <x:f>IF(B571&gt;='Analysis'!$C$13*12,0,MAX(0,D571-G571))</x:f>
        <x:v>0</x:v>
      </x:c>
    </x:row>
    <x:row r="572" ht="22" customHeight="1">
      <x:c r="A572" s="2"/>
      <x:c r="B572" s="41" t="n">
        <x:f>567</x:f>
        <x:v>567</x:v>
      </x:c>
      <x:c r="C572" s="41" t="n">
        <x:f>ROUNDUP(B572/12,0)</x:f>
        <x:v>48</x:v>
      </x:c>
      <x:c r="D572" s="16" t="n">
        <x:f>H571</x:f>
        <x:v>0</x:v>
      </x:c>
      <x:c r="E572" s="32" t="n">
        <x:f>IF(B572&gt;'Analysis'!$C$13*12,0,'Analysis'!$G$22)</x:f>
        <x:v>0</x:v>
      </x:c>
      <x:c r="F572" s="32" t="n">
        <x:f>MAX(0,E572-G572)</x:f>
        <x:v>0</x:v>
      </x:c>
      <x:c r="G572" s="16" t="n">
        <x:f>IF(OR('Analysis'!$G$21=0,B572&gt;'Analysis'!$C$13*12),0,IF('Analysis'!$C$12=0,'Analysis'!$G$21/('Analysis'!$C$13*12),'Analysis'!$G$21*(1+'Analysis'!$C$12/12)^-('Analysis'!$C$13*12-B572)*(1-(1+'Analysis'!$C$12/12)^-1)/(1-(1+'Analysis'!$C$12/12)^-('Analysis'!$C$13*12))))</x:f>
        <x:v>0</x:v>
      </x:c>
      <x:c r="H572" s="16" t="n">
        <x:f>IF(B572&gt;='Analysis'!$C$13*12,0,MAX(0,D572-G572))</x:f>
        <x:v>0</x:v>
      </x:c>
    </x:row>
    <x:row r="573" ht="22" customHeight="1">
      <x:c r="A573" s="2"/>
      <x:c r="B573" s="41" t="n">
        <x:f>568</x:f>
        <x:v>568</x:v>
      </x:c>
      <x:c r="C573" s="41" t="n">
        <x:f>ROUNDUP(B573/12,0)</x:f>
        <x:v>48</x:v>
      </x:c>
      <x:c r="D573" s="16" t="n">
        <x:f>H572</x:f>
        <x:v>0</x:v>
      </x:c>
      <x:c r="E573" s="32" t="n">
        <x:f>IF(B573&gt;'Analysis'!$C$13*12,0,'Analysis'!$G$22)</x:f>
        <x:v>0</x:v>
      </x:c>
      <x:c r="F573" s="32" t="n">
        <x:f>MAX(0,E573-G573)</x:f>
        <x:v>0</x:v>
      </x:c>
      <x:c r="G573" s="16" t="n">
        <x:f>IF(OR('Analysis'!$G$21=0,B573&gt;'Analysis'!$C$13*12),0,IF('Analysis'!$C$12=0,'Analysis'!$G$21/('Analysis'!$C$13*12),'Analysis'!$G$21*(1+'Analysis'!$C$12/12)^-('Analysis'!$C$13*12-B573)*(1-(1+'Analysis'!$C$12/12)^-1)/(1-(1+'Analysis'!$C$12/12)^-('Analysis'!$C$13*12))))</x:f>
        <x:v>0</x:v>
      </x:c>
      <x:c r="H573" s="16" t="n">
        <x:f>IF(B573&gt;='Analysis'!$C$13*12,0,MAX(0,D573-G573))</x:f>
        <x:v>0</x:v>
      </x:c>
    </x:row>
    <x:row r="574" ht="22" customHeight="1">
      <x:c r="A574" s="2"/>
      <x:c r="B574" s="41" t="n">
        <x:f>569</x:f>
        <x:v>569</x:v>
      </x:c>
      <x:c r="C574" s="41" t="n">
        <x:f>ROUNDUP(B574/12,0)</x:f>
        <x:v>48</x:v>
      </x:c>
      <x:c r="D574" s="16" t="n">
        <x:f>H573</x:f>
        <x:v>0</x:v>
      </x:c>
      <x:c r="E574" s="32" t="n">
        <x:f>IF(B574&gt;'Analysis'!$C$13*12,0,'Analysis'!$G$22)</x:f>
        <x:v>0</x:v>
      </x:c>
      <x:c r="F574" s="32" t="n">
        <x:f>MAX(0,E574-G574)</x:f>
        <x:v>0</x:v>
      </x:c>
      <x:c r="G574" s="16" t="n">
        <x:f>IF(OR('Analysis'!$G$21=0,B574&gt;'Analysis'!$C$13*12),0,IF('Analysis'!$C$12=0,'Analysis'!$G$21/('Analysis'!$C$13*12),'Analysis'!$G$21*(1+'Analysis'!$C$12/12)^-('Analysis'!$C$13*12-B574)*(1-(1+'Analysis'!$C$12/12)^-1)/(1-(1+'Analysis'!$C$12/12)^-('Analysis'!$C$13*12))))</x:f>
        <x:v>0</x:v>
      </x:c>
      <x:c r="H574" s="16" t="n">
        <x:f>IF(B574&gt;='Analysis'!$C$13*12,0,MAX(0,D574-G574))</x:f>
        <x:v>0</x:v>
      </x:c>
    </x:row>
    <x:row r="575" ht="22" customHeight="1">
      <x:c r="A575" s="2"/>
      <x:c r="B575" s="41" t="n">
        <x:f>570</x:f>
        <x:v>570</x:v>
      </x:c>
      <x:c r="C575" s="41" t="n">
        <x:f>ROUNDUP(B575/12,0)</x:f>
        <x:v>48</x:v>
      </x:c>
      <x:c r="D575" s="16" t="n">
        <x:f>H574</x:f>
        <x:v>0</x:v>
      </x:c>
      <x:c r="E575" s="32" t="n">
        <x:f>IF(B575&gt;'Analysis'!$C$13*12,0,'Analysis'!$G$22)</x:f>
        <x:v>0</x:v>
      </x:c>
      <x:c r="F575" s="32" t="n">
        <x:f>MAX(0,E575-G575)</x:f>
        <x:v>0</x:v>
      </x:c>
      <x:c r="G575" s="16" t="n">
        <x:f>IF(OR('Analysis'!$G$21=0,B575&gt;'Analysis'!$C$13*12),0,IF('Analysis'!$C$12=0,'Analysis'!$G$21/('Analysis'!$C$13*12),'Analysis'!$G$21*(1+'Analysis'!$C$12/12)^-('Analysis'!$C$13*12-B575)*(1-(1+'Analysis'!$C$12/12)^-1)/(1-(1+'Analysis'!$C$12/12)^-('Analysis'!$C$13*12))))</x:f>
        <x:v>0</x:v>
      </x:c>
      <x:c r="H575" s="16" t="n">
        <x:f>IF(B575&gt;='Analysis'!$C$13*12,0,MAX(0,D575-G575))</x:f>
        <x:v>0</x:v>
      </x:c>
    </x:row>
    <x:row r="576" ht="22" customHeight="1">
      <x:c r="A576" s="2"/>
      <x:c r="B576" s="41" t="n">
        <x:f>571</x:f>
        <x:v>571</x:v>
      </x:c>
      <x:c r="C576" s="41" t="n">
        <x:f>ROUNDUP(B576/12,0)</x:f>
        <x:v>48</x:v>
      </x:c>
      <x:c r="D576" s="16" t="n">
        <x:f>H575</x:f>
        <x:v>0</x:v>
      </x:c>
      <x:c r="E576" s="32" t="n">
        <x:f>IF(B576&gt;'Analysis'!$C$13*12,0,'Analysis'!$G$22)</x:f>
        <x:v>0</x:v>
      </x:c>
      <x:c r="F576" s="32" t="n">
        <x:f>MAX(0,E576-G576)</x:f>
        <x:v>0</x:v>
      </x:c>
      <x:c r="G576" s="16" t="n">
        <x:f>IF(OR('Analysis'!$G$21=0,B576&gt;'Analysis'!$C$13*12),0,IF('Analysis'!$C$12=0,'Analysis'!$G$21/('Analysis'!$C$13*12),'Analysis'!$G$21*(1+'Analysis'!$C$12/12)^-('Analysis'!$C$13*12-B576)*(1-(1+'Analysis'!$C$12/12)^-1)/(1-(1+'Analysis'!$C$12/12)^-('Analysis'!$C$13*12))))</x:f>
        <x:v>0</x:v>
      </x:c>
      <x:c r="H576" s="16" t="n">
        <x:f>IF(B576&gt;='Analysis'!$C$13*12,0,MAX(0,D576-G576))</x:f>
        <x:v>0</x:v>
      </x:c>
    </x:row>
    <x:row r="577" ht="22" customHeight="1">
      <x:c r="A577" s="2"/>
      <x:c r="B577" s="41" t="n">
        <x:f>572</x:f>
        <x:v>572</x:v>
      </x:c>
      <x:c r="C577" s="41" t="n">
        <x:f>ROUNDUP(B577/12,0)</x:f>
        <x:v>48</x:v>
      </x:c>
      <x:c r="D577" s="16" t="n">
        <x:f>H576</x:f>
        <x:v>0</x:v>
      </x:c>
      <x:c r="E577" s="32" t="n">
        <x:f>IF(B577&gt;'Analysis'!$C$13*12,0,'Analysis'!$G$22)</x:f>
        <x:v>0</x:v>
      </x:c>
      <x:c r="F577" s="32" t="n">
        <x:f>MAX(0,E577-G577)</x:f>
        <x:v>0</x:v>
      </x:c>
      <x:c r="G577" s="16" t="n">
        <x:f>IF(OR('Analysis'!$G$21=0,B577&gt;'Analysis'!$C$13*12),0,IF('Analysis'!$C$12=0,'Analysis'!$G$21/('Analysis'!$C$13*12),'Analysis'!$G$21*(1+'Analysis'!$C$12/12)^-('Analysis'!$C$13*12-B577)*(1-(1+'Analysis'!$C$12/12)^-1)/(1-(1+'Analysis'!$C$12/12)^-('Analysis'!$C$13*12))))</x:f>
        <x:v>0</x:v>
      </x:c>
      <x:c r="H577" s="16" t="n">
        <x:f>IF(B577&gt;='Analysis'!$C$13*12,0,MAX(0,D577-G577))</x:f>
        <x:v>0</x:v>
      </x:c>
    </x:row>
    <x:row r="578" ht="22" customHeight="1">
      <x:c r="A578" s="2"/>
      <x:c r="B578" s="41" t="n">
        <x:f>573</x:f>
        <x:v>573</x:v>
      </x:c>
      <x:c r="C578" s="41" t="n">
        <x:f>ROUNDUP(B578/12,0)</x:f>
        <x:v>48</x:v>
      </x:c>
      <x:c r="D578" s="16" t="n">
        <x:f>H577</x:f>
        <x:v>0</x:v>
      </x:c>
      <x:c r="E578" s="32" t="n">
        <x:f>IF(B578&gt;'Analysis'!$C$13*12,0,'Analysis'!$G$22)</x:f>
        <x:v>0</x:v>
      </x:c>
      <x:c r="F578" s="32" t="n">
        <x:f>MAX(0,E578-G578)</x:f>
        <x:v>0</x:v>
      </x:c>
      <x:c r="G578" s="16" t="n">
        <x:f>IF(OR('Analysis'!$G$21=0,B578&gt;'Analysis'!$C$13*12),0,IF('Analysis'!$C$12=0,'Analysis'!$G$21/('Analysis'!$C$13*12),'Analysis'!$G$21*(1+'Analysis'!$C$12/12)^-('Analysis'!$C$13*12-B578)*(1-(1+'Analysis'!$C$12/12)^-1)/(1-(1+'Analysis'!$C$12/12)^-('Analysis'!$C$13*12))))</x:f>
        <x:v>0</x:v>
      </x:c>
      <x:c r="H578" s="16" t="n">
        <x:f>IF(B578&gt;='Analysis'!$C$13*12,0,MAX(0,D578-G578))</x:f>
        <x:v>0</x:v>
      </x:c>
    </x:row>
    <x:row r="579" ht="22" customHeight="1">
      <x:c r="A579" s="2"/>
      <x:c r="B579" s="41" t="n">
        <x:f>574</x:f>
        <x:v>574</x:v>
      </x:c>
      <x:c r="C579" s="41" t="n">
        <x:f>ROUNDUP(B579/12,0)</x:f>
        <x:v>48</x:v>
      </x:c>
      <x:c r="D579" s="16" t="n">
        <x:f>H578</x:f>
        <x:v>0</x:v>
      </x:c>
      <x:c r="E579" s="32" t="n">
        <x:f>IF(B579&gt;'Analysis'!$C$13*12,0,'Analysis'!$G$22)</x:f>
        <x:v>0</x:v>
      </x:c>
      <x:c r="F579" s="32" t="n">
        <x:f>MAX(0,E579-G579)</x:f>
        <x:v>0</x:v>
      </x:c>
      <x:c r="G579" s="16" t="n">
        <x:f>IF(OR('Analysis'!$G$21=0,B579&gt;'Analysis'!$C$13*12),0,IF('Analysis'!$C$12=0,'Analysis'!$G$21/('Analysis'!$C$13*12),'Analysis'!$G$21*(1+'Analysis'!$C$12/12)^-('Analysis'!$C$13*12-B579)*(1-(1+'Analysis'!$C$12/12)^-1)/(1-(1+'Analysis'!$C$12/12)^-('Analysis'!$C$13*12))))</x:f>
        <x:v>0</x:v>
      </x:c>
      <x:c r="H579" s="16" t="n">
        <x:f>IF(B579&gt;='Analysis'!$C$13*12,0,MAX(0,D579-G579))</x:f>
        <x:v>0</x:v>
      </x:c>
    </x:row>
    <x:row r="580" ht="22" customHeight="1">
      <x:c r="A580" s="2"/>
      <x:c r="B580" s="41" t="n">
        <x:f>575</x:f>
        <x:v>575</x:v>
      </x:c>
      <x:c r="C580" s="41" t="n">
        <x:f>ROUNDUP(B580/12,0)</x:f>
        <x:v>48</x:v>
      </x:c>
      <x:c r="D580" s="16" t="n">
        <x:f>H579</x:f>
        <x:v>0</x:v>
      </x:c>
      <x:c r="E580" s="32" t="n">
        <x:f>IF(B580&gt;'Analysis'!$C$13*12,0,'Analysis'!$G$22)</x:f>
        <x:v>0</x:v>
      </x:c>
      <x:c r="F580" s="32" t="n">
        <x:f>MAX(0,E580-G580)</x:f>
        <x:v>0</x:v>
      </x:c>
      <x:c r="G580" s="16" t="n">
        <x:f>IF(OR('Analysis'!$G$21=0,B580&gt;'Analysis'!$C$13*12),0,IF('Analysis'!$C$12=0,'Analysis'!$G$21/('Analysis'!$C$13*12),'Analysis'!$G$21*(1+'Analysis'!$C$12/12)^-('Analysis'!$C$13*12-B580)*(1-(1+'Analysis'!$C$12/12)^-1)/(1-(1+'Analysis'!$C$12/12)^-('Analysis'!$C$13*12))))</x:f>
        <x:v>0</x:v>
      </x:c>
      <x:c r="H580" s="16" t="n">
        <x:f>IF(B580&gt;='Analysis'!$C$13*12,0,MAX(0,D580-G580))</x:f>
        <x:v>0</x:v>
      </x:c>
    </x:row>
    <x:row r="581" ht="22" customHeight="1">
      <x:c r="A581" s="2"/>
      <x:c r="B581" s="41" t="n">
        <x:f>576</x:f>
        <x:v>576</x:v>
      </x:c>
      <x:c r="C581" s="41" t="n">
        <x:f>ROUNDUP(B581/12,0)</x:f>
        <x:v>48</x:v>
      </x:c>
      <x:c r="D581" s="16" t="n">
        <x:f>H580</x:f>
        <x:v>0</x:v>
      </x:c>
      <x:c r="E581" s="32" t="n">
        <x:f>IF(B581&gt;'Analysis'!$C$13*12,0,'Analysis'!$G$22)</x:f>
        <x:v>0</x:v>
      </x:c>
      <x:c r="F581" s="32" t="n">
        <x:f>MAX(0,E581-G581)</x:f>
        <x:v>0</x:v>
      </x:c>
      <x:c r="G581" s="16" t="n">
        <x:f>IF(OR('Analysis'!$G$21=0,B581&gt;'Analysis'!$C$13*12),0,IF('Analysis'!$C$12=0,'Analysis'!$G$21/('Analysis'!$C$13*12),'Analysis'!$G$21*(1+'Analysis'!$C$12/12)^-('Analysis'!$C$13*12-B581)*(1-(1+'Analysis'!$C$12/12)^-1)/(1-(1+'Analysis'!$C$12/12)^-('Analysis'!$C$13*12))))</x:f>
        <x:v>0</x:v>
      </x:c>
      <x:c r="H581" s="16" t="n">
        <x:f>IF(B581&gt;='Analysis'!$C$13*12,0,MAX(0,D581-G581))</x:f>
        <x:v>0</x:v>
      </x:c>
    </x:row>
    <x:row r="582" ht="22" customHeight="1">
      <x:c r="A582" s="2"/>
      <x:c r="B582" s="41" t="n">
        <x:f>577</x:f>
        <x:v>577</x:v>
      </x:c>
      <x:c r="C582" s="41" t="n">
        <x:f>ROUNDUP(B582/12,0)</x:f>
        <x:v>49</x:v>
      </x:c>
      <x:c r="D582" s="16" t="n">
        <x:f>H581</x:f>
        <x:v>0</x:v>
      </x:c>
      <x:c r="E582" s="32" t="n">
        <x:f>IF(B582&gt;'Analysis'!$C$13*12,0,'Analysis'!$G$22)</x:f>
        <x:v>0</x:v>
      </x:c>
      <x:c r="F582" s="32" t="n">
        <x:f>MAX(0,E582-G582)</x:f>
        <x:v>0</x:v>
      </x:c>
      <x:c r="G582" s="16" t="n">
        <x:f>IF(OR('Analysis'!$G$21=0,B582&gt;'Analysis'!$C$13*12),0,IF('Analysis'!$C$12=0,'Analysis'!$G$21/('Analysis'!$C$13*12),'Analysis'!$G$21*(1+'Analysis'!$C$12/12)^-('Analysis'!$C$13*12-B582)*(1-(1+'Analysis'!$C$12/12)^-1)/(1-(1+'Analysis'!$C$12/12)^-('Analysis'!$C$13*12))))</x:f>
        <x:v>0</x:v>
      </x:c>
      <x:c r="H582" s="16" t="n">
        <x:f>IF(B582&gt;='Analysis'!$C$13*12,0,MAX(0,D582-G582))</x:f>
        <x:v>0</x:v>
      </x:c>
    </x:row>
    <x:row r="583" ht="22" customHeight="1">
      <x:c r="A583" s="2"/>
      <x:c r="B583" s="41" t="n">
        <x:f>578</x:f>
        <x:v>578</x:v>
      </x:c>
      <x:c r="C583" s="41" t="n">
        <x:f>ROUNDUP(B583/12,0)</x:f>
        <x:v>49</x:v>
      </x:c>
      <x:c r="D583" s="16" t="n">
        <x:f>H582</x:f>
        <x:v>0</x:v>
      </x:c>
      <x:c r="E583" s="32" t="n">
        <x:f>IF(B583&gt;'Analysis'!$C$13*12,0,'Analysis'!$G$22)</x:f>
        <x:v>0</x:v>
      </x:c>
      <x:c r="F583" s="32" t="n">
        <x:f>MAX(0,E583-G583)</x:f>
        <x:v>0</x:v>
      </x:c>
      <x:c r="G583" s="16" t="n">
        <x:f>IF(OR('Analysis'!$G$21=0,B583&gt;'Analysis'!$C$13*12),0,IF('Analysis'!$C$12=0,'Analysis'!$G$21/('Analysis'!$C$13*12),'Analysis'!$G$21*(1+'Analysis'!$C$12/12)^-('Analysis'!$C$13*12-B583)*(1-(1+'Analysis'!$C$12/12)^-1)/(1-(1+'Analysis'!$C$12/12)^-('Analysis'!$C$13*12))))</x:f>
        <x:v>0</x:v>
      </x:c>
      <x:c r="H583" s="16" t="n">
        <x:f>IF(B583&gt;='Analysis'!$C$13*12,0,MAX(0,D583-G583))</x:f>
        <x:v>0</x:v>
      </x:c>
    </x:row>
    <x:row r="584" ht="22" customHeight="1">
      <x:c r="A584" s="2"/>
      <x:c r="B584" s="41" t="n">
        <x:f>579</x:f>
        <x:v>579</x:v>
      </x:c>
      <x:c r="C584" s="41" t="n">
        <x:f>ROUNDUP(B584/12,0)</x:f>
        <x:v>49</x:v>
      </x:c>
      <x:c r="D584" s="16" t="n">
        <x:f>H583</x:f>
        <x:v>0</x:v>
      </x:c>
      <x:c r="E584" s="32" t="n">
        <x:f>IF(B584&gt;'Analysis'!$C$13*12,0,'Analysis'!$G$22)</x:f>
        <x:v>0</x:v>
      </x:c>
      <x:c r="F584" s="32" t="n">
        <x:f>MAX(0,E584-G584)</x:f>
        <x:v>0</x:v>
      </x:c>
      <x:c r="G584" s="16" t="n">
        <x:f>IF(OR('Analysis'!$G$21=0,B584&gt;'Analysis'!$C$13*12),0,IF('Analysis'!$C$12=0,'Analysis'!$G$21/('Analysis'!$C$13*12),'Analysis'!$G$21*(1+'Analysis'!$C$12/12)^-('Analysis'!$C$13*12-B584)*(1-(1+'Analysis'!$C$12/12)^-1)/(1-(1+'Analysis'!$C$12/12)^-('Analysis'!$C$13*12))))</x:f>
        <x:v>0</x:v>
      </x:c>
      <x:c r="H584" s="16" t="n">
        <x:f>IF(B584&gt;='Analysis'!$C$13*12,0,MAX(0,D584-G584))</x:f>
        <x:v>0</x:v>
      </x:c>
    </x:row>
    <x:row r="585" ht="22" customHeight="1">
      <x:c r="A585" s="2"/>
      <x:c r="B585" s="41" t="n">
        <x:f>580</x:f>
        <x:v>580</x:v>
      </x:c>
      <x:c r="C585" s="41" t="n">
        <x:f>ROUNDUP(B585/12,0)</x:f>
        <x:v>49</x:v>
      </x:c>
      <x:c r="D585" s="16" t="n">
        <x:f>H584</x:f>
        <x:v>0</x:v>
      </x:c>
      <x:c r="E585" s="32" t="n">
        <x:f>IF(B585&gt;'Analysis'!$C$13*12,0,'Analysis'!$G$22)</x:f>
        <x:v>0</x:v>
      </x:c>
      <x:c r="F585" s="32" t="n">
        <x:f>MAX(0,E585-G585)</x:f>
        <x:v>0</x:v>
      </x:c>
      <x:c r="G585" s="16" t="n">
        <x:f>IF(OR('Analysis'!$G$21=0,B585&gt;'Analysis'!$C$13*12),0,IF('Analysis'!$C$12=0,'Analysis'!$G$21/('Analysis'!$C$13*12),'Analysis'!$G$21*(1+'Analysis'!$C$12/12)^-('Analysis'!$C$13*12-B585)*(1-(1+'Analysis'!$C$12/12)^-1)/(1-(1+'Analysis'!$C$12/12)^-('Analysis'!$C$13*12))))</x:f>
        <x:v>0</x:v>
      </x:c>
      <x:c r="H585" s="16" t="n">
        <x:f>IF(B585&gt;='Analysis'!$C$13*12,0,MAX(0,D585-G585))</x:f>
        <x:v>0</x:v>
      </x:c>
    </x:row>
    <x:row r="586" ht="22" customHeight="1">
      <x:c r="A586" s="2"/>
      <x:c r="B586" s="41" t="n">
        <x:f>581</x:f>
        <x:v>581</x:v>
      </x:c>
      <x:c r="C586" s="41" t="n">
        <x:f>ROUNDUP(B586/12,0)</x:f>
        <x:v>49</x:v>
      </x:c>
      <x:c r="D586" s="16" t="n">
        <x:f>H585</x:f>
        <x:v>0</x:v>
      </x:c>
      <x:c r="E586" s="32" t="n">
        <x:f>IF(B586&gt;'Analysis'!$C$13*12,0,'Analysis'!$G$22)</x:f>
        <x:v>0</x:v>
      </x:c>
      <x:c r="F586" s="32" t="n">
        <x:f>MAX(0,E586-G586)</x:f>
        <x:v>0</x:v>
      </x:c>
      <x:c r="G586" s="16" t="n">
        <x:f>IF(OR('Analysis'!$G$21=0,B586&gt;'Analysis'!$C$13*12),0,IF('Analysis'!$C$12=0,'Analysis'!$G$21/('Analysis'!$C$13*12),'Analysis'!$G$21*(1+'Analysis'!$C$12/12)^-('Analysis'!$C$13*12-B586)*(1-(1+'Analysis'!$C$12/12)^-1)/(1-(1+'Analysis'!$C$12/12)^-('Analysis'!$C$13*12))))</x:f>
        <x:v>0</x:v>
      </x:c>
      <x:c r="H586" s="16" t="n">
        <x:f>IF(B586&gt;='Analysis'!$C$13*12,0,MAX(0,D586-G586))</x:f>
        <x:v>0</x:v>
      </x:c>
    </x:row>
    <x:row r="587" ht="22" customHeight="1">
      <x:c r="A587" s="2"/>
      <x:c r="B587" s="41" t="n">
        <x:f>582</x:f>
        <x:v>582</x:v>
      </x:c>
      <x:c r="C587" s="41" t="n">
        <x:f>ROUNDUP(B587/12,0)</x:f>
        <x:v>49</x:v>
      </x:c>
      <x:c r="D587" s="16" t="n">
        <x:f>H586</x:f>
        <x:v>0</x:v>
      </x:c>
      <x:c r="E587" s="32" t="n">
        <x:f>IF(B587&gt;'Analysis'!$C$13*12,0,'Analysis'!$G$22)</x:f>
        <x:v>0</x:v>
      </x:c>
      <x:c r="F587" s="32" t="n">
        <x:f>MAX(0,E587-G587)</x:f>
        <x:v>0</x:v>
      </x:c>
      <x:c r="G587" s="16" t="n">
        <x:f>IF(OR('Analysis'!$G$21=0,B587&gt;'Analysis'!$C$13*12),0,IF('Analysis'!$C$12=0,'Analysis'!$G$21/('Analysis'!$C$13*12),'Analysis'!$G$21*(1+'Analysis'!$C$12/12)^-('Analysis'!$C$13*12-B587)*(1-(1+'Analysis'!$C$12/12)^-1)/(1-(1+'Analysis'!$C$12/12)^-('Analysis'!$C$13*12))))</x:f>
        <x:v>0</x:v>
      </x:c>
      <x:c r="H587" s="16" t="n">
        <x:f>IF(B587&gt;='Analysis'!$C$13*12,0,MAX(0,D587-G587))</x:f>
        <x:v>0</x:v>
      </x:c>
    </x:row>
    <x:row r="588" ht="22" customHeight="1">
      <x:c r="A588" s="2"/>
      <x:c r="B588" s="41" t="n">
        <x:f>583</x:f>
        <x:v>583</x:v>
      </x:c>
      <x:c r="C588" s="41" t="n">
        <x:f>ROUNDUP(B588/12,0)</x:f>
        <x:v>49</x:v>
      </x:c>
      <x:c r="D588" s="16" t="n">
        <x:f>H587</x:f>
        <x:v>0</x:v>
      </x:c>
      <x:c r="E588" s="32" t="n">
        <x:f>IF(B588&gt;'Analysis'!$C$13*12,0,'Analysis'!$G$22)</x:f>
        <x:v>0</x:v>
      </x:c>
      <x:c r="F588" s="32" t="n">
        <x:f>MAX(0,E588-G588)</x:f>
        <x:v>0</x:v>
      </x:c>
      <x:c r="G588" s="16" t="n">
        <x:f>IF(OR('Analysis'!$G$21=0,B588&gt;'Analysis'!$C$13*12),0,IF('Analysis'!$C$12=0,'Analysis'!$G$21/('Analysis'!$C$13*12),'Analysis'!$G$21*(1+'Analysis'!$C$12/12)^-('Analysis'!$C$13*12-B588)*(1-(1+'Analysis'!$C$12/12)^-1)/(1-(1+'Analysis'!$C$12/12)^-('Analysis'!$C$13*12))))</x:f>
        <x:v>0</x:v>
      </x:c>
      <x:c r="H588" s="16" t="n">
        <x:f>IF(B588&gt;='Analysis'!$C$13*12,0,MAX(0,D588-G588))</x:f>
        <x:v>0</x:v>
      </x:c>
    </x:row>
    <x:row r="589" ht="22" customHeight="1">
      <x:c r="A589" s="2"/>
      <x:c r="B589" s="41" t="n">
        <x:f>584</x:f>
        <x:v>584</x:v>
      </x:c>
      <x:c r="C589" s="41" t="n">
        <x:f>ROUNDUP(B589/12,0)</x:f>
        <x:v>49</x:v>
      </x:c>
      <x:c r="D589" s="16" t="n">
        <x:f>H588</x:f>
        <x:v>0</x:v>
      </x:c>
      <x:c r="E589" s="32" t="n">
        <x:f>IF(B589&gt;'Analysis'!$C$13*12,0,'Analysis'!$G$22)</x:f>
        <x:v>0</x:v>
      </x:c>
      <x:c r="F589" s="32" t="n">
        <x:f>MAX(0,E589-G589)</x:f>
        <x:v>0</x:v>
      </x:c>
      <x:c r="G589" s="16" t="n">
        <x:f>IF(OR('Analysis'!$G$21=0,B589&gt;'Analysis'!$C$13*12),0,IF('Analysis'!$C$12=0,'Analysis'!$G$21/('Analysis'!$C$13*12),'Analysis'!$G$21*(1+'Analysis'!$C$12/12)^-('Analysis'!$C$13*12-B589)*(1-(1+'Analysis'!$C$12/12)^-1)/(1-(1+'Analysis'!$C$12/12)^-('Analysis'!$C$13*12))))</x:f>
        <x:v>0</x:v>
      </x:c>
      <x:c r="H589" s="16" t="n">
        <x:f>IF(B589&gt;='Analysis'!$C$13*12,0,MAX(0,D589-G589))</x:f>
        <x:v>0</x:v>
      </x:c>
    </x:row>
    <x:row r="590" ht="22" customHeight="1">
      <x:c r="A590" s="2"/>
      <x:c r="B590" s="41" t="n">
        <x:f>585</x:f>
        <x:v>585</x:v>
      </x:c>
      <x:c r="C590" s="41" t="n">
        <x:f>ROUNDUP(B590/12,0)</x:f>
        <x:v>49</x:v>
      </x:c>
      <x:c r="D590" s="16" t="n">
        <x:f>H589</x:f>
        <x:v>0</x:v>
      </x:c>
      <x:c r="E590" s="32" t="n">
        <x:f>IF(B590&gt;'Analysis'!$C$13*12,0,'Analysis'!$G$22)</x:f>
        <x:v>0</x:v>
      </x:c>
      <x:c r="F590" s="32" t="n">
        <x:f>MAX(0,E590-G590)</x:f>
        <x:v>0</x:v>
      </x:c>
      <x:c r="G590" s="16" t="n">
        <x:f>IF(OR('Analysis'!$G$21=0,B590&gt;'Analysis'!$C$13*12),0,IF('Analysis'!$C$12=0,'Analysis'!$G$21/('Analysis'!$C$13*12),'Analysis'!$G$21*(1+'Analysis'!$C$12/12)^-('Analysis'!$C$13*12-B590)*(1-(1+'Analysis'!$C$12/12)^-1)/(1-(1+'Analysis'!$C$12/12)^-('Analysis'!$C$13*12))))</x:f>
        <x:v>0</x:v>
      </x:c>
      <x:c r="H590" s="16" t="n">
        <x:f>IF(B590&gt;='Analysis'!$C$13*12,0,MAX(0,D590-G590))</x:f>
        <x:v>0</x:v>
      </x:c>
    </x:row>
    <x:row r="591" ht="22" customHeight="1">
      <x:c r="A591" s="2"/>
      <x:c r="B591" s="41" t="n">
        <x:f>586</x:f>
        <x:v>586</x:v>
      </x:c>
      <x:c r="C591" s="41" t="n">
        <x:f>ROUNDUP(B591/12,0)</x:f>
        <x:v>49</x:v>
      </x:c>
      <x:c r="D591" s="16" t="n">
        <x:f>H590</x:f>
        <x:v>0</x:v>
      </x:c>
      <x:c r="E591" s="32" t="n">
        <x:f>IF(B591&gt;'Analysis'!$C$13*12,0,'Analysis'!$G$22)</x:f>
        <x:v>0</x:v>
      </x:c>
      <x:c r="F591" s="32" t="n">
        <x:f>MAX(0,E591-G591)</x:f>
        <x:v>0</x:v>
      </x:c>
      <x:c r="G591" s="16" t="n">
        <x:f>IF(OR('Analysis'!$G$21=0,B591&gt;'Analysis'!$C$13*12),0,IF('Analysis'!$C$12=0,'Analysis'!$G$21/('Analysis'!$C$13*12),'Analysis'!$G$21*(1+'Analysis'!$C$12/12)^-('Analysis'!$C$13*12-B591)*(1-(1+'Analysis'!$C$12/12)^-1)/(1-(1+'Analysis'!$C$12/12)^-('Analysis'!$C$13*12))))</x:f>
        <x:v>0</x:v>
      </x:c>
      <x:c r="H591" s="16" t="n">
        <x:f>IF(B591&gt;='Analysis'!$C$13*12,0,MAX(0,D591-G591))</x:f>
        <x:v>0</x:v>
      </x:c>
    </x:row>
    <x:row r="592" ht="22" customHeight="1">
      <x:c r="A592" s="2"/>
      <x:c r="B592" s="41" t="n">
        <x:f>587</x:f>
        <x:v>587</x:v>
      </x:c>
      <x:c r="C592" s="41" t="n">
        <x:f>ROUNDUP(B592/12,0)</x:f>
        <x:v>49</x:v>
      </x:c>
      <x:c r="D592" s="16" t="n">
        <x:f>H591</x:f>
        <x:v>0</x:v>
      </x:c>
      <x:c r="E592" s="32" t="n">
        <x:f>IF(B592&gt;'Analysis'!$C$13*12,0,'Analysis'!$G$22)</x:f>
        <x:v>0</x:v>
      </x:c>
      <x:c r="F592" s="32" t="n">
        <x:f>MAX(0,E592-G592)</x:f>
        <x:v>0</x:v>
      </x:c>
      <x:c r="G592" s="16" t="n">
        <x:f>IF(OR('Analysis'!$G$21=0,B592&gt;'Analysis'!$C$13*12),0,IF('Analysis'!$C$12=0,'Analysis'!$G$21/('Analysis'!$C$13*12),'Analysis'!$G$21*(1+'Analysis'!$C$12/12)^-('Analysis'!$C$13*12-B592)*(1-(1+'Analysis'!$C$12/12)^-1)/(1-(1+'Analysis'!$C$12/12)^-('Analysis'!$C$13*12))))</x:f>
        <x:v>0</x:v>
      </x:c>
      <x:c r="H592" s="16" t="n">
        <x:f>IF(B592&gt;='Analysis'!$C$13*12,0,MAX(0,D592-G592))</x:f>
        <x:v>0</x:v>
      </x:c>
    </x:row>
    <x:row r="593" ht="22" customHeight="1">
      <x:c r="A593" s="2"/>
      <x:c r="B593" s="41" t="n">
        <x:f>588</x:f>
        <x:v>588</x:v>
      </x:c>
      <x:c r="C593" s="41" t="n">
        <x:f>ROUNDUP(B593/12,0)</x:f>
        <x:v>49</x:v>
      </x:c>
      <x:c r="D593" s="16" t="n">
        <x:f>H592</x:f>
        <x:v>0</x:v>
      </x:c>
      <x:c r="E593" s="32" t="n">
        <x:f>IF(B593&gt;'Analysis'!$C$13*12,0,'Analysis'!$G$22)</x:f>
        <x:v>0</x:v>
      </x:c>
      <x:c r="F593" s="32" t="n">
        <x:f>MAX(0,E593-G593)</x:f>
        <x:v>0</x:v>
      </x:c>
      <x:c r="G593" s="16" t="n">
        <x:f>IF(OR('Analysis'!$G$21=0,B593&gt;'Analysis'!$C$13*12),0,IF('Analysis'!$C$12=0,'Analysis'!$G$21/('Analysis'!$C$13*12),'Analysis'!$G$21*(1+'Analysis'!$C$12/12)^-('Analysis'!$C$13*12-B593)*(1-(1+'Analysis'!$C$12/12)^-1)/(1-(1+'Analysis'!$C$12/12)^-('Analysis'!$C$13*12))))</x:f>
        <x:v>0</x:v>
      </x:c>
      <x:c r="H593" s="16" t="n">
        <x:f>IF(B593&gt;='Analysis'!$C$13*12,0,MAX(0,D593-G593))</x:f>
        <x:v>0</x:v>
      </x:c>
    </x:row>
    <x:row r="594" ht="22" customHeight="1">
      <x:c r="A594" s="2"/>
      <x:c r="B594" s="41" t="n">
        <x:f>589</x:f>
        <x:v>589</x:v>
      </x:c>
      <x:c r="C594" s="41" t="n">
        <x:f>ROUNDUP(B594/12,0)</x:f>
        <x:v>50</x:v>
      </x:c>
      <x:c r="D594" s="16" t="n">
        <x:f>H593</x:f>
        <x:v>0</x:v>
      </x:c>
      <x:c r="E594" s="32" t="n">
        <x:f>IF(B594&gt;'Analysis'!$C$13*12,0,'Analysis'!$G$22)</x:f>
        <x:v>0</x:v>
      </x:c>
      <x:c r="F594" s="32" t="n">
        <x:f>MAX(0,E594-G594)</x:f>
        <x:v>0</x:v>
      </x:c>
      <x:c r="G594" s="16" t="n">
        <x:f>IF(OR('Analysis'!$G$21=0,B594&gt;'Analysis'!$C$13*12),0,IF('Analysis'!$C$12=0,'Analysis'!$G$21/('Analysis'!$C$13*12),'Analysis'!$G$21*(1+'Analysis'!$C$12/12)^-('Analysis'!$C$13*12-B594)*(1-(1+'Analysis'!$C$12/12)^-1)/(1-(1+'Analysis'!$C$12/12)^-('Analysis'!$C$13*12))))</x:f>
        <x:v>0</x:v>
      </x:c>
      <x:c r="H594" s="16" t="n">
        <x:f>IF(B594&gt;='Analysis'!$C$13*12,0,MAX(0,D594-G594))</x:f>
        <x:v>0</x:v>
      </x:c>
    </x:row>
    <x:row r="595" ht="22" customHeight="1">
      <x:c r="A595" s="2"/>
      <x:c r="B595" s="41" t="n">
        <x:f>590</x:f>
        <x:v>590</x:v>
      </x:c>
      <x:c r="C595" s="41" t="n">
        <x:f>ROUNDUP(B595/12,0)</x:f>
        <x:v>50</x:v>
      </x:c>
      <x:c r="D595" s="16" t="n">
        <x:f>H594</x:f>
        <x:v>0</x:v>
      </x:c>
      <x:c r="E595" s="32" t="n">
        <x:f>IF(B595&gt;'Analysis'!$C$13*12,0,'Analysis'!$G$22)</x:f>
        <x:v>0</x:v>
      </x:c>
      <x:c r="F595" s="32" t="n">
        <x:f>MAX(0,E595-G595)</x:f>
        <x:v>0</x:v>
      </x:c>
      <x:c r="G595" s="16" t="n">
        <x:f>IF(OR('Analysis'!$G$21=0,B595&gt;'Analysis'!$C$13*12),0,IF('Analysis'!$C$12=0,'Analysis'!$G$21/('Analysis'!$C$13*12),'Analysis'!$G$21*(1+'Analysis'!$C$12/12)^-('Analysis'!$C$13*12-B595)*(1-(1+'Analysis'!$C$12/12)^-1)/(1-(1+'Analysis'!$C$12/12)^-('Analysis'!$C$13*12))))</x:f>
        <x:v>0</x:v>
      </x:c>
      <x:c r="H595" s="16" t="n">
        <x:f>IF(B595&gt;='Analysis'!$C$13*12,0,MAX(0,D595-G595))</x:f>
        <x:v>0</x:v>
      </x:c>
    </x:row>
    <x:row r="596" ht="22" customHeight="1">
      <x:c r="A596" s="2"/>
      <x:c r="B596" s="41" t="n">
        <x:f>591</x:f>
        <x:v>591</x:v>
      </x:c>
      <x:c r="C596" s="41" t="n">
        <x:f>ROUNDUP(B596/12,0)</x:f>
        <x:v>50</x:v>
      </x:c>
      <x:c r="D596" s="16" t="n">
        <x:f>H595</x:f>
        <x:v>0</x:v>
      </x:c>
      <x:c r="E596" s="32" t="n">
        <x:f>IF(B596&gt;'Analysis'!$C$13*12,0,'Analysis'!$G$22)</x:f>
        <x:v>0</x:v>
      </x:c>
      <x:c r="F596" s="32" t="n">
        <x:f>MAX(0,E596-G596)</x:f>
        <x:v>0</x:v>
      </x:c>
      <x:c r="G596" s="16" t="n">
        <x:f>IF(OR('Analysis'!$G$21=0,B596&gt;'Analysis'!$C$13*12),0,IF('Analysis'!$C$12=0,'Analysis'!$G$21/('Analysis'!$C$13*12),'Analysis'!$G$21*(1+'Analysis'!$C$12/12)^-('Analysis'!$C$13*12-B596)*(1-(1+'Analysis'!$C$12/12)^-1)/(1-(1+'Analysis'!$C$12/12)^-('Analysis'!$C$13*12))))</x:f>
        <x:v>0</x:v>
      </x:c>
      <x:c r="H596" s="16" t="n">
        <x:f>IF(B596&gt;='Analysis'!$C$13*12,0,MAX(0,D596-G596))</x:f>
        <x:v>0</x:v>
      </x:c>
    </x:row>
    <x:row r="597" ht="22" customHeight="1">
      <x:c r="A597" s="2"/>
      <x:c r="B597" s="41" t="n">
        <x:f>592</x:f>
        <x:v>592</x:v>
      </x:c>
      <x:c r="C597" s="41" t="n">
        <x:f>ROUNDUP(B597/12,0)</x:f>
        <x:v>50</x:v>
      </x:c>
      <x:c r="D597" s="16" t="n">
        <x:f>H596</x:f>
        <x:v>0</x:v>
      </x:c>
      <x:c r="E597" s="32" t="n">
        <x:f>IF(B597&gt;'Analysis'!$C$13*12,0,'Analysis'!$G$22)</x:f>
        <x:v>0</x:v>
      </x:c>
      <x:c r="F597" s="32" t="n">
        <x:f>MAX(0,E597-G597)</x:f>
        <x:v>0</x:v>
      </x:c>
      <x:c r="G597" s="16" t="n">
        <x:f>IF(OR('Analysis'!$G$21=0,B597&gt;'Analysis'!$C$13*12),0,IF('Analysis'!$C$12=0,'Analysis'!$G$21/('Analysis'!$C$13*12),'Analysis'!$G$21*(1+'Analysis'!$C$12/12)^-('Analysis'!$C$13*12-B597)*(1-(1+'Analysis'!$C$12/12)^-1)/(1-(1+'Analysis'!$C$12/12)^-('Analysis'!$C$13*12))))</x:f>
        <x:v>0</x:v>
      </x:c>
      <x:c r="H597" s="16" t="n">
        <x:f>IF(B597&gt;='Analysis'!$C$13*12,0,MAX(0,D597-G597))</x:f>
        <x:v>0</x:v>
      </x:c>
    </x:row>
    <x:row r="598" ht="22" customHeight="1">
      <x:c r="A598" s="2"/>
      <x:c r="B598" s="41" t="n">
        <x:f>593</x:f>
        <x:v>593</x:v>
      </x:c>
      <x:c r="C598" s="41" t="n">
        <x:f>ROUNDUP(B598/12,0)</x:f>
        <x:v>50</x:v>
      </x:c>
      <x:c r="D598" s="16" t="n">
        <x:f>H597</x:f>
        <x:v>0</x:v>
      </x:c>
      <x:c r="E598" s="32" t="n">
        <x:f>IF(B598&gt;'Analysis'!$C$13*12,0,'Analysis'!$G$22)</x:f>
        <x:v>0</x:v>
      </x:c>
      <x:c r="F598" s="32" t="n">
        <x:f>MAX(0,E598-G598)</x:f>
        <x:v>0</x:v>
      </x:c>
      <x:c r="G598" s="16" t="n">
        <x:f>IF(OR('Analysis'!$G$21=0,B598&gt;'Analysis'!$C$13*12),0,IF('Analysis'!$C$12=0,'Analysis'!$G$21/('Analysis'!$C$13*12),'Analysis'!$G$21*(1+'Analysis'!$C$12/12)^-('Analysis'!$C$13*12-B598)*(1-(1+'Analysis'!$C$12/12)^-1)/(1-(1+'Analysis'!$C$12/12)^-('Analysis'!$C$13*12))))</x:f>
        <x:v>0</x:v>
      </x:c>
      <x:c r="H598" s="16" t="n">
        <x:f>IF(B598&gt;='Analysis'!$C$13*12,0,MAX(0,D598-G598))</x:f>
        <x:v>0</x:v>
      </x:c>
    </x:row>
    <x:row r="599" ht="22" customHeight="1">
      <x:c r="A599" s="2"/>
      <x:c r="B599" s="41" t="n">
        <x:f>594</x:f>
        <x:v>594</x:v>
      </x:c>
      <x:c r="C599" s="41" t="n">
        <x:f>ROUNDUP(B599/12,0)</x:f>
        <x:v>50</x:v>
      </x:c>
      <x:c r="D599" s="16" t="n">
        <x:f>H598</x:f>
        <x:v>0</x:v>
      </x:c>
      <x:c r="E599" s="32" t="n">
        <x:f>IF(B599&gt;'Analysis'!$C$13*12,0,'Analysis'!$G$22)</x:f>
        <x:v>0</x:v>
      </x:c>
      <x:c r="F599" s="32" t="n">
        <x:f>MAX(0,E599-G599)</x:f>
        <x:v>0</x:v>
      </x:c>
      <x:c r="G599" s="16" t="n">
        <x:f>IF(OR('Analysis'!$G$21=0,B599&gt;'Analysis'!$C$13*12),0,IF('Analysis'!$C$12=0,'Analysis'!$G$21/('Analysis'!$C$13*12),'Analysis'!$G$21*(1+'Analysis'!$C$12/12)^-('Analysis'!$C$13*12-B599)*(1-(1+'Analysis'!$C$12/12)^-1)/(1-(1+'Analysis'!$C$12/12)^-('Analysis'!$C$13*12))))</x:f>
        <x:v>0</x:v>
      </x:c>
      <x:c r="H599" s="16" t="n">
        <x:f>IF(B599&gt;='Analysis'!$C$13*12,0,MAX(0,D599-G599))</x:f>
        <x:v>0</x:v>
      </x:c>
    </x:row>
    <x:row r="600" ht="22" customHeight="1">
      <x:c r="A600" s="2"/>
      <x:c r="B600" s="41" t="n">
        <x:f>595</x:f>
        <x:v>595</x:v>
      </x:c>
      <x:c r="C600" s="41" t="n">
        <x:f>ROUNDUP(B600/12,0)</x:f>
        <x:v>50</x:v>
      </x:c>
      <x:c r="D600" s="16" t="n">
        <x:f>H599</x:f>
        <x:v>0</x:v>
      </x:c>
      <x:c r="E600" s="32" t="n">
        <x:f>IF(B600&gt;'Analysis'!$C$13*12,0,'Analysis'!$G$22)</x:f>
        <x:v>0</x:v>
      </x:c>
      <x:c r="F600" s="32" t="n">
        <x:f>MAX(0,E600-G600)</x:f>
        <x:v>0</x:v>
      </x:c>
      <x:c r="G600" s="16" t="n">
        <x:f>IF(OR('Analysis'!$G$21=0,B600&gt;'Analysis'!$C$13*12),0,IF('Analysis'!$C$12=0,'Analysis'!$G$21/('Analysis'!$C$13*12),'Analysis'!$G$21*(1+'Analysis'!$C$12/12)^-('Analysis'!$C$13*12-B600)*(1-(1+'Analysis'!$C$12/12)^-1)/(1-(1+'Analysis'!$C$12/12)^-('Analysis'!$C$13*12))))</x:f>
        <x:v>0</x:v>
      </x:c>
      <x:c r="H600" s="16" t="n">
        <x:f>IF(B600&gt;='Analysis'!$C$13*12,0,MAX(0,D600-G600))</x:f>
        <x:v>0</x:v>
      </x:c>
    </x:row>
    <x:row r="601" ht="22" customHeight="1">
      <x:c r="A601" s="2"/>
      <x:c r="B601" s="41" t="n">
        <x:f>596</x:f>
        <x:v>596</x:v>
      </x:c>
      <x:c r="C601" s="41" t="n">
        <x:f>ROUNDUP(B601/12,0)</x:f>
        <x:v>50</x:v>
      </x:c>
      <x:c r="D601" s="16" t="n">
        <x:f>H600</x:f>
        <x:v>0</x:v>
      </x:c>
      <x:c r="E601" s="32" t="n">
        <x:f>IF(B601&gt;'Analysis'!$C$13*12,0,'Analysis'!$G$22)</x:f>
        <x:v>0</x:v>
      </x:c>
      <x:c r="F601" s="32" t="n">
        <x:f>MAX(0,E601-G601)</x:f>
        <x:v>0</x:v>
      </x:c>
      <x:c r="G601" s="16" t="n">
        <x:f>IF(OR('Analysis'!$G$21=0,B601&gt;'Analysis'!$C$13*12),0,IF('Analysis'!$C$12=0,'Analysis'!$G$21/('Analysis'!$C$13*12),'Analysis'!$G$21*(1+'Analysis'!$C$12/12)^-('Analysis'!$C$13*12-B601)*(1-(1+'Analysis'!$C$12/12)^-1)/(1-(1+'Analysis'!$C$12/12)^-('Analysis'!$C$13*12))))</x:f>
        <x:v>0</x:v>
      </x:c>
      <x:c r="H601" s="16" t="n">
        <x:f>IF(B601&gt;='Analysis'!$C$13*12,0,MAX(0,D601-G601))</x:f>
        <x:v>0</x:v>
      </x:c>
    </x:row>
    <x:row r="602" ht="22" customHeight="1">
      <x:c r="A602" s="2"/>
      <x:c r="B602" s="41" t="n">
        <x:f>597</x:f>
        <x:v>597</x:v>
      </x:c>
      <x:c r="C602" s="41" t="n">
        <x:f>ROUNDUP(B602/12,0)</x:f>
        <x:v>50</x:v>
      </x:c>
      <x:c r="D602" s="16" t="n">
        <x:f>H601</x:f>
        <x:v>0</x:v>
      </x:c>
      <x:c r="E602" s="32" t="n">
        <x:f>IF(B602&gt;'Analysis'!$C$13*12,0,'Analysis'!$G$22)</x:f>
        <x:v>0</x:v>
      </x:c>
      <x:c r="F602" s="32" t="n">
        <x:f>MAX(0,E602-G602)</x:f>
        <x:v>0</x:v>
      </x:c>
      <x:c r="G602" s="16" t="n">
        <x:f>IF(OR('Analysis'!$G$21=0,B602&gt;'Analysis'!$C$13*12),0,IF('Analysis'!$C$12=0,'Analysis'!$G$21/('Analysis'!$C$13*12),'Analysis'!$G$21*(1+'Analysis'!$C$12/12)^-('Analysis'!$C$13*12-B602)*(1-(1+'Analysis'!$C$12/12)^-1)/(1-(1+'Analysis'!$C$12/12)^-('Analysis'!$C$13*12))))</x:f>
        <x:v>0</x:v>
      </x:c>
      <x:c r="H602" s="16" t="n">
        <x:f>IF(B602&gt;='Analysis'!$C$13*12,0,MAX(0,D602-G602))</x:f>
        <x:v>0</x:v>
      </x:c>
    </x:row>
    <x:row r="603" ht="22" customHeight="1">
      <x:c r="A603" s="2"/>
      <x:c r="B603" s="41" t="n">
        <x:f>598</x:f>
        <x:v>598</x:v>
      </x:c>
      <x:c r="C603" s="41" t="n">
        <x:f>ROUNDUP(B603/12,0)</x:f>
        <x:v>50</x:v>
      </x:c>
      <x:c r="D603" s="16" t="n">
        <x:f>H602</x:f>
        <x:v>0</x:v>
      </x:c>
      <x:c r="E603" s="32" t="n">
        <x:f>IF(B603&gt;'Analysis'!$C$13*12,0,'Analysis'!$G$22)</x:f>
        <x:v>0</x:v>
      </x:c>
      <x:c r="F603" s="32" t="n">
        <x:f>MAX(0,E603-G603)</x:f>
        <x:v>0</x:v>
      </x:c>
      <x:c r="G603" s="16" t="n">
        <x:f>IF(OR('Analysis'!$G$21=0,B603&gt;'Analysis'!$C$13*12),0,IF('Analysis'!$C$12=0,'Analysis'!$G$21/('Analysis'!$C$13*12),'Analysis'!$G$21*(1+'Analysis'!$C$12/12)^-('Analysis'!$C$13*12-B603)*(1-(1+'Analysis'!$C$12/12)^-1)/(1-(1+'Analysis'!$C$12/12)^-('Analysis'!$C$13*12))))</x:f>
        <x:v>0</x:v>
      </x:c>
      <x:c r="H603" s="16" t="n">
        <x:f>IF(B603&gt;='Analysis'!$C$13*12,0,MAX(0,D603-G603))</x:f>
        <x:v>0</x:v>
      </x:c>
    </x:row>
    <x:row r="604" ht="22" customHeight="1">
      <x:c r="A604" s="2"/>
      <x:c r="B604" s="41" t="n">
        <x:f>599</x:f>
        <x:v>599</x:v>
      </x:c>
      <x:c r="C604" s="41" t="n">
        <x:f>ROUNDUP(B604/12,0)</x:f>
        <x:v>50</x:v>
      </x:c>
      <x:c r="D604" s="16" t="n">
        <x:f>H603</x:f>
        <x:v>0</x:v>
      </x:c>
      <x:c r="E604" s="32" t="n">
        <x:f>IF(B604&gt;'Analysis'!$C$13*12,0,'Analysis'!$G$22)</x:f>
        <x:v>0</x:v>
      </x:c>
      <x:c r="F604" s="32" t="n">
        <x:f>MAX(0,E604-G604)</x:f>
        <x:v>0</x:v>
      </x:c>
      <x:c r="G604" s="16" t="n">
        <x:f>IF(OR('Analysis'!$G$21=0,B604&gt;'Analysis'!$C$13*12),0,IF('Analysis'!$C$12=0,'Analysis'!$G$21/('Analysis'!$C$13*12),'Analysis'!$G$21*(1+'Analysis'!$C$12/12)^-('Analysis'!$C$13*12-B604)*(1-(1+'Analysis'!$C$12/12)^-1)/(1-(1+'Analysis'!$C$12/12)^-('Analysis'!$C$13*12))))</x:f>
        <x:v>0</x:v>
      </x:c>
      <x:c r="H604" s="16" t="n">
        <x:f>IF(B604&gt;='Analysis'!$C$13*12,0,MAX(0,D604-G604))</x:f>
        <x:v>0</x:v>
      </x:c>
    </x:row>
    <x:row r="605" ht="22" customHeight="1">
      <x:c r="A605" s="2"/>
      <x:c r="B605" s="41" t="n">
        <x:f>600</x:f>
        <x:v>600</x:v>
      </x:c>
      <x:c r="C605" s="41" t="n">
        <x:f>ROUNDUP(B605/12,0)</x:f>
        <x:v>50</x:v>
      </x:c>
      <x:c r="D605" s="16" t="n">
        <x:f>H604</x:f>
        <x:v>0</x:v>
      </x:c>
      <x:c r="E605" s="32" t="n">
        <x:f>IF(B605&gt;'Analysis'!$C$13*12,0,'Analysis'!$G$22)</x:f>
        <x:v>0</x:v>
      </x:c>
      <x:c r="F605" s="32" t="n">
        <x:f>MAX(0,E605-G605)</x:f>
        <x:v>0</x:v>
      </x:c>
      <x:c r="G605" s="16" t="n">
        <x:f>IF(OR('Analysis'!$G$21=0,B605&gt;'Analysis'!$C$13*12),0,IF('Analysis'!$C$12=0,'Analysis'!$G$21/('Analysis'!$C$13*12),'Analysis'!$G$21*(1+'Analysis'!$C$12/12)^-('Analysis'!$C$13*12-B605)*(1-(1+'Analysis'!$C$12/12)^-1)/(1-(1+'Analysis'!$C$12/12)^-('Analysis'!$C$13*12))))</x:f>
        <x:v>0</x:v>
      </x:c>
      <x:c r="H605" s="16" t="n">
        <x:f>IF(B605&gt;='Analysis'!$C$13*12,0,MAX(0,D605-G605))</x:f>
        <x:v>0</x:v>
      </x:c>
    </x:row>
  </x:sheetData>
  <x:pageMargins left="0.7" right="0.7" top="0.75" bottom="0.75" header="0.3" footer="0.3"/>
</x:worksheet>
</file>